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/comment1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Guide" sheetId="2" state="visible" r:id="rId2"/>
    <sheet xmlns:r="http://schemas.openxmlformats.org/officeDocument/2006/relationships" name="Source Data" sheetId="3" state="visible" r:id="rId3"/>
    <sheet xmlns:r="http://schemas.openxmlformats.org/officeDocument/2006/relationships" name="Assumptions" sheetId="4" state="visible" r:id="rId4"/>
    <sheet xmlns:r="http://schemas.openxmlformats.org/officeDocument/2006/relationships" name="Sources &amp; Uses" sheetId="5" state="visible" r:id="rId5"/>
    <sheet xmlns:r="http://schemas.openxmlformats.org/officeDocument/2006/relationships" name="Operating Forecast" sheetId="6" state="visible" r:id="rId6"/>
    <sheet xmlns:r="http://schemas.openxmlformats.org/officeDocument/2006/relationships" name="Debt Schedule" sheetId="7" state="visible" r:id="rId7"/>
    <sheet xmlns:r="http://schemas.openxmlformats.org/officeDocument/2006/relationships" name="Returns" sheetId="8" state="visible" r:id="rId8"/>
    <sheet xmlns:r="http://schemas.openxmlformats.org/officeDocument/2006/relationships" name="Sensitivity" sheetId="9" state="visible" r:id="rId9"/>
    <sheet xmlns:r="http://schemas.openxmlformats.org/officeDocument/2006/relationships" name="Valuation" sheetId="10" state="visible" r:id="rId10"/>
    <sheet xmlns:r="http://schemas.openxmlformats.org/officeDocument/2006/relationships" name="Checks" sheetId="11" state="visible" r:id="rId11"/>
    <sheet xmlns:r="http://schemas.openxmlformats.org/officeDocument/2006/relationships" name="Sources" sheetId="12" state="visible" r:id="rId12"/>
  </sheets>
  <definedNames>
    <definedName name="_xlnm.Print_Area" localSheetId="0">'Cover'!$A$1:$H$38</definedName>
    <definedName name="_xlnm.Print_Area" localSheetId="1">'Guide'!$A$1:$G$16</definedName>
    <definedName name="_xlnm.Print_Area" localSheetId="2">'Source Data'!$A$1:$G$15</definedName>
    <definedName name="_xlnm.Print_Area" localSheetId="3">'Assumptions'!$A$1:$G$42</definedName>
    <definedName name="_xlnm.Print_Area" localSheetId="4">'Sources &amp; Uses'!$A$1:$F$22</definedName>
    <definedName name="_xlnm.Print_Area" localSheetId="5">'Operating Forecast'!$A$1:$L$18</definedName>
    <definedName name="_xlnm.Print_Area" localSheetId="6">'Debt Schedule'!$A$1:$L$32</definedName>
    <definedName name="_xlnm.Print_Area" localSheetId="7">'Returns'!$A$1:$G$28</definedName>
    <definedName name="_xlnm.Print_Area" localSheetId="8">'Sensitivity'!$A$1:$G$19</definedName>
    <definedName name="_xlnm.Print_Area" localSheetId="9">'Valuation'!$A$1:$G$13</definedName>
    <definedName name="_xlnm.Print_Area" localSheetId="10">'Checks'!$A$1:$H$32</definedName>
    <definedName name="_xlnm._FilterDatabase" localSheetId="11" hidden="1">'Sources'!$A$4:$H$18</definedName>
    <definedName name="_xlnm.Print_Area" localSheetId="11">'Sources'!$A$1:$H$18</definedName>
  </definedNames>
  <calcPr calcId="124519" calcMode="auto" fullCalcOnLoad="1" refMode="A1" iterate="0" iterateCount="100" iterateDelta="0.0001" forceFullCalc="1"/>
</workbook>
</file>

<file path=xl/styles.xml><?xml version="1.0" encoding="utf-8"?>
<styleSheet xmlns="http://schemas.openxmlformats.org/spreadsheetml/2006/main">
  <numFmts count="6">
    <numFmt numFmtId="164" formatCode="mmm\ d&quot;, &quot;yyyy"/>
    <numFmt numFmtId="165" formatCode="0.0%;[RED]\(0.0%\);\-"/>
    <numFmt numFmtId="166" formatCode="0.0\x;[RED]\(0.0&quot;x)&quot;;\-"/>
    <numFmt numFmtId="167" formatCode="\$#,##0;[RED]&quot;($&quot;#,##0\);\-"/>
    <numFmt numFmtId="168" formatCode="yyyy\E"/>
    <numFmt numFmtId="169" formatCode="yyyy\A"/>
  </numFmts>
  <fonts count="2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5"/>
    </font>
    <font>
      <name val="Arial"/>
      <charset val="1"/>
      <family val="0"/>
      <i val="1"/>
      <color rgb="FF666666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000000"/>
      <sz val="9"/>
    </font>
    <font>
      <name val="Arial"/>
      <charset val="1"/>
      <family val="0"/>
      <color rgb="FF000000"/>
      <sz val="11"/>
    </font>
    <font>
      <name val="Arial"/>
      <charset val="1"/>
      <family val="0"/>
      <b val="1"/>
      <color rgb="FF17365D"/>
      <sz val="18"/>
    </font>
    <font>
      <name val="Arial"/>
      <charset val="1"/>
      <family val="0"/>
      <i val="1"/>
      <color rgb="FF000000"/>
      <sz val="9"/>
    </font>
    <font>
      <name val="Arial"/>
      <charset val="1"/>
      <family val="0"/>
      <color rgb="FF008000"/>
      <sz val="9"/>
    </font>
    <font>
      <name val="Arial"/>
      <charset val="1"/>
      <family val="0"/>
      <b val="1"/>
      <color rgb="FF000000"/>
      <sz val="11"/>
    </font>
    <font>
      <name val="Arial"/>
      <charset val="1"/>
      <family val="0"/>
      <b val="1"/>
      <color rgb="FF008000"/>
      <sz val="9"/>
    </font>
    <font>
      <name val="Arial"/>
      <charset val="1"/>
      <family val="0"/>
      <color rgb="FF000000"/>
      <sz val="10"/>
    </font>
    <font>
      <name val="Arial"/>
      <charset val="1"/>
      <family val="0"/>
      <b val="1"/>
      <color rgb="FF0000FF"/>
      <sz val="9"/>
    </font>
    <font>
      <name val="Arial"/>
      <charset val="1"/>
      <family val="0"/>
      <color rgb="FF000000"/>
      <sz val="9"/>
    </font>
    <font>
      <name val="Calibri"/>
      <charset val="1"/>
      <family val="0"/>
      <b val="1"/>
      <color rgb="FF000000"/>
      <sz val="11"/>
    </font>
    <font>
      <name val="Arial"/>
      <charset val="1"/>
      <family val="0"/>
      <color rgb="FF0000FF"/>
      <sz val="9"/>
    </font>
    <font>
      <name val="Arial"/>
      <family val="2"/>
      <sz val="10"/>
    </font>
    <font>
      <name val="Arial"/>
      <charset val="1"/>
      <family val="0"/>
      <color rgb="FF0563C1"/>
      <sz val="9"/>
      <u val="single"/>
    </font>
  </fonts>
  <fills count="8">
    <fill>
      <patternFill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D9E1F2"/>
        <bgColor rgb="FFD9EAF7"/>
      </patternFill>
    </fill>
    <fill>
      <patternFill patternType="solid">
        <fgColor rgb="FFE2F0D9"/>
        <bgColor rgb="FFD9EAF7"/>
      </patternFill>
    </fill>
    <fill>
      <patternFill patternType="solid">
        <fgColor rgb="FFD9EAF7"/>
        <bgColor rgb="FFD9E1F2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CE4D6"/>
      </patternFill>
    </fill>
  </fills>
  <borders count="7">
    <border>
      <left/>
      <right/>
      <top/>
      <bottom/>
      <diagonal/>
    </border>
    <border>
      <left style="medium">
        <color rgb="FF17365D"/>
      </left>
      <right/>
      <top style="medium">
        <color rgb="FF17365D"/>
      </top>
      <bottom/>
      <diagonal/>
    </border>
    <border>
      <left/>
      <right/>
      <top/>
      <bottom style="thin">
        <color rgb="FFB7B7B7"/>
      </bottom>
      <diagonal/>
    </border>
    <border>
      <left/>
      <right/>
      <top style="thin"/>
      <bottom/>
      <diagonal/>
    </border>
    <border>
      <left/>
      <right/>
      <top/>
      <bottom style="hair">
        <color rgb="FFD9D9D9"/>
      </bottom>
      <diagonal/>
    </border>
    <border>
      <left/>
      <right/>
      <top style="medium">
        <color rgb="FF17365D"/>
      </top>
      <bottom/>
      <diagonal/>
    </border>
    <border>
      <left style="medium">
        <color rgb="FF17365D"/>
      </left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45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8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applyAlignment="1" pivotButton="0" quotePrefix="0" xfId="0">
      <alignment horizontal="right" vertical="top" wrapText="1"/>
    </xf>
    <xf numFmtId="0" fontId="7" fillId="3" borderId="2" applyAlignment="1" pivotButton="0" quotePrefix="0" xfId="0">
      <alignment horizontal="center" vertical="center" wrapText="1"/>
    </xf>
    <xf numFmtId="0" fontId="12" fillId="4" borderId="3" applyAlignment="1" pivotButton="0" quotePrefix="0" xfId="0">
      <alignment horizontal="general" vertical="bottom"/>
    </xf>
    <xf numFmtId="165" fontId="13" fillId="4" borderId="3" applyAlignment="1" pivotButton="0" quotePrefix="0" xfId="0">
      <alignment horizontal="right" vertical="bottom"/>
    </xf>
    <xf numFmtId="165" fontId="7" fillId="4" borderId="3" applyAlignment="1" pivotButton="0" quotePrefix="0" xfId="0">
      <alignment horizontal="right" vertical="bottom"/>
    </xf>
    <xf numFmtId="0" fontId="12" fillId="4" borderId="3" applyAlignment="1" pivotButton="0" quotePrefix="0" xfId="0">
      <alignment horizontal="general" vertical="bottom" wrapText="1"/>
    </xf>
    <xf numFmtId="166" fontId="13" fillId="4" borderId="3" applyAlignment="1" pivotButton="0" quotePrefix="0" xfId="0">
      <alignment horizontal="right" vertical="bottom"/>
    </xf>
    <xf numFmtId="166" fontId="7" fillId="4" borderId="3" applyAlignment="1" pivotButton="0" quotePrefix="0" xfId="0">
      <alignment horizontal="right" vertical="bottom"/>
    </xf>
    <xf numFmtId="167" fontId="13" fillId="4" borderId="3" applyAlignment="1" pivotButton="0" quotePrefix="0" xfId="0">
      <alignment horizontal="right" vertical="bottom"/>
    </xf>
    <xf numFmtId="167" fontId="7" fillId="4" borderId="3" applyAlignment="1" pivotButton="0" quotePrefix="0" xfId="0">
      <alignment horizontal="right" vertical="bottom"/>
    </xf>
    <xf numFmtId="0" fontId="14" fillId="0" borderId="0" applyAlignment="1" pivotButton="0" quotePrefix="0" xfId="0">
      <alignment horizontal="general" vertical="bottom"/>
    </xf>
    <xf numFmtId="0" fontId="15" fillId="5" borderId="0" applyAlignment="1" pivotButton="0" quotePrefix="0" xfId="0">
      <alignment horizontal="general" vertical="bottom"/>
    </xf>
    <xf numFmtId="0" fontId="13" fillId="6" borderId="0" applyAlignment="1" pivotButton="0" quotePrefix="0" xfId="0">
      <alignment horizontal="general" vertical="bottom"/>
    </xf>
    <xf numFmtId="0" fontId="7" fillId="6" borderId="0" applyAlignment="1" pivotButton="0" quotePrefix="0" xfId="0">
      <alignment horizontal="general" vertical="bottom"/>
    </xf>
    <xf numFmtId="0" fontId="7" fillId="7" borderId="0" applyAlignment="1" pivotButton="0" quotePrefix="0" xfId="0">
      <alignment horizontal="general" vertical="bottom"/>
    </xf>
    <xf numFmtId="0" fontId="8" fillId="7" borderId="0" applyAlignment="1" pivotButton="0" quotePrefix="0" xfId="0">
      <alignment horizontal="general" vertical="bottom" wrapText="1"/>
    </xf>
    <xf numFmtId="0" fontId="7" fillId="0" borderId="4" applyAlignment="1" pivotButton="0" quotePrefix="0" xfId="0">
      <alignment horizontal="general" vertical="top" wrapText="1"/>
    </xf>
    <xf numFmtId="0" fontId="16" fillId="0" borderId="4" applyAlignment="1" pivotButton="0" quotePrefix="0" xfId="0">
      <alignment horizontal="general" vertical="top" wrapText="1"/>
    </xf>
    <xf numFmtId="0" fontId="11" fillId="0" borderId="4" applyAlignment="1" pivotButton="0" quotePrefix="0" xfId="0">
      <alignment horizontal="right" vertical="top" wrapText="1"/>
    </xf>
    <xf numFmtId="167" fontId="11" fillId="0" borderId="4" applyAlignment="1" pivotButton="0" quotePrefix="0" xfId="0">
      <alignment horizontal="right" vertical="top" wrapText="1"/>
    </xf>
    <xf numFmtId="165" fontId="11" fillId="0" borderId="4" applyAlignment="1" pivotButton="0" quotePrefix="0" xfId="0">
      <alignment horizontal="right" vertical="top" wrapText="1"/>
    </xf>
    <xf numFmtId="0" fontId="16" fillId="0" borderId="0" applyAlignment="1" pivotButton="0" quotePrefix="0" xfId="0">
      <alignment horizontal="general" vertical="bottom"/>
    </xf>
    <xf numFmtId="0" fontId="7" fillId="4" borderId="3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bottom"/>
    </xf>
    <xf numFmtId="167" fontId="11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bottom"/>
    </xf>
    <xf numFmtId="166" fontId="11" fillId="0" borderId="0" applyAlignment="1" pivotButton="0" quotePrefix="0" xfId="0">
      <alignment horizontal="right" vertical="bottom"/>
    </xf>
    <xf numFmtId="168" fontId="11" fillId="0" borderId="0" applyAlignment="1" pivotButton="0" quotePrefix="0" xfId="0">
      <alignment horizontal="right" vertical="bottom"/>
    </xf>
    <xf numFmtId="0" fontId="17" fillId="4" borderId="3" applyAlignment="1" pivotButton="0" quotePrefix="0" xfId="0">
      <alignment horizontal="general" vertical="bottom"/>
    </xf>
    <xf numFmtId="165" fontId="11" fillId="0" borderId="0" applyAlignment="1" pivotButton="0" quotePrefix="0" xfId="0">
      <alignment horizontal="right" vertical="bottom"/>
    </xf>
    <xf numFmtId="169" fontId="7" fillId="3" borderId="2" applyAlignment="1" pivotButton="0" quotePrefix="0" xfId="0">
      <alignment horizontal="center" vertical="center" wrapText="1"/>
    </xf>
    <xf numFmtId="167" fontId="16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top" wrapText="1"/>
    </xf>
    <xf numFmtId="167" fontId="16" fillId="0" borderId="0" applyAlignment="1" pivotButton="0" quotePrefix="0" xfId="0">
      <alignment horizontal="general" vertical="bottom"/>
    </xf>
    <xf numFmtId="165" fontId="16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general" vertical="bottom"/>
    </xf>
    <xf numFmtId="167" fontId="11" fillId="0" borderId="0" applyAlignment="1" pivotButton="0" quotePrefix="0" xfId="0">
      <alignment horizontal="right" vertical="top"/>
    </xf>
    <xf numFmtId="167" fontId="18" fillId="5" borderId="0" applyAlignment="1" applyProtection="1" pivotButton="0" quotePrefix="0" xfId="0">
      <alignment horizontal="right" vertical="top"/>
      <protection locked="0" hidden="0"/>
    </xf>
    <xf numFmtId="0" fontId="8" fillId="0" borderId="0" applyAlignment="1" pivotButton="0" quotePrefix="0" xfId="0">
      <alignment horizontal="general" vertical="top"/>
    </xf>
    <xf numFmtId="166" fontId="16" fillId="0" borderId="0" applyAlignment="1" pivotButton="0" quotePrefix="0" xfId="0">
      <alignment horizontal="right" vertical="top"/>
    </xf>
    <xf numFmtId="166" fontId="18" fillId="5" borderId="0" applyAlignment="1" applyProtection="1" pivotButton="0" quotePrefix="0" xfId="0">
      <alignment horizontal="right" vertical="top"/>
      <protection locked="0" hidden="0"/>
    </xf>
    <xf numFmtId="167" fontId="16" fillId="0" borderId="0" applyAlignment="1" pivotButton="0" quotePrefix="0" xfId="0">
      <alignment horizontal="right" vertical="top"/>
    </xf>
    <xf numFmtId="165" fontId="16" fillId="0" borderId="0" applyAlignment="1" pivotButton="0" quotePrefix="0" xfId="0">
      <alignment horizontal="right" vertical="top"/>
    </xf>
    <xf numFmtId="165" fontId="18" fillId="5" borderId="0" applyAlignment="1" applyProtection="1" pivotButton="0" quotePrefix="0" xfId="0">
      <alignment horizontal="right" vertical="top"/>
      <protection locked="0" hidden="0"/>
    </xf>
    <xf numFmtId="1" fontId="16" fillId="0" borderId="0" applyAlignment="1" pivotButton="0" quotePrefix="0" xfId="0">
      <alignment horizontal="right" vertical="top"/>
    </xf>
    <xf numFmtId="1" fontId="18" fillId="5" borderId="0" applyAlignment="1" applyProtection="1" pivotButton="0" quotePrefix="0" xfId="0">
      <alignment horizontal="right" vertical="top"/>
      <protection locked="0" hidden="0"/>
    </xf>
    <xf numFmtId="165" fontId="18" fillId="5" borderId="0" applyAlignment="1" applyProtection="1" pivotButton="0" quotePrefix="0" xfId="0">
      <alignment horizontal="right" vertical="bottom"/>
      <protection locked="0" hidden="0"/>
    </xf>
    <xf numFmtId="0" fontId="12" fillId="0" borderId="3" applyAlignment="1" pivotButton="0" quotePrefix="0" xfId="0">
      <alignment horizontal="general" vertical="bottom"/>
    </xf>
    <xf numFmtId="167" fontId="7" fillId="0" borderId="3" applyAlignment="1" pivotButton="0" quotePrefix="0" xfId="0">
      <alignment horizontal="right" vertical="bottom"/>
    </xf>
    <xf numFmtId="168" fontId="7" fillId="3" borderId="0" applyAlignment="1" pivotButton="0" quotePrefix="0" xfId="0">
      <alignment horizontal="right" vertical="bottom"/>
    </xf>
    <xf numFmtId="167" fontId="13" fillId="0" borderId="3" applyAlignment="1" pivotButton="0" quotePrefix="0" xfId="0">
      <alignment horizontal="right" vertical="bottom"/>
    </xf>
    <xf numFmtId="1" fontId="11" fillId="0" borderId="0" applyAlignment="1" pivotButton="0" quotePrefix="0" xfId="0">
      <alignment horizontal="right" vertical="bottom"/>
    </xf>
    <xf numFmtId="166" fontId="11" fillId="3" borderId="2" applyAlignment="1" pivotButton="0" quotePrefix="0" xfId="0">
      <alignment horizontal="center" vertical="center" wrapText="1"/>
    </xf>
    <xf numFmtId="165" fontId="11" fillId="4" borderId="0" applyAlignment="1" pivotButton="0" quotePrefix="0" xfId="0">
      <alignment horizontal="right" vertical="bottom"/>
    </xf>
    <xf numFmtId="166" fontId="16" fillId="0" borderId="0" applyAlignment="1" pivotButton="0" quotePrefix="0" xfId="0">
      <alignment horizontal="right" vertical="bottom"/>
    </xf>
    <xf numFmtId="0" fontId="12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bottom" wrapText="1"/>
    </xf>
    <xf numFmtId="0" fontId="11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top" wrapText="1"/>
    </xf>
    <xf numFmtId="0" fontId="20" fillId="0" borderId="0" applyAlignment="1" pivotButton="0" quotePrefix="0" xfId="0">
      <alignment horizontal="general" vertical="top" wrapText="1"/>
    </xf>
    <xf numFmtId="164" fontId="16" fillId="0" borderId="0" applyAlignment="1" pivotButton="0" quotePrefix="0" xfId="0">
      <alignment horizontal="general" vertical="top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164" fontId="8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applyAlignment="1" pivotButton="0" quotePrefix="0" xfId="0">
      <alignment horizontal="right" vertical="top" wrapText="1"/>
    </xf>
    <xf numFmtId="0" fontId="7" fillId="3" borderId="2" applyAlignment="1" pivotButton="0" quotePrefix="0" xfId="0">
      <alignment horizontal="center" vertical="center" wrapText="1"/>
    </xf>
    <xf numFmtId="0" fontId="12" fillId="4" borderId="3" applyAlignment="1" pivotButton="0" quotePrefix="0" xfId="0">
      <alignment horizontal="general" vertical="bottom"/>
    </xf>
    <xf numFmtId="165" fontId="13" fillId="4" borderId="3" applyAlignment="1" pivotButton="0" quotePrefix="0" xfId="0">
      <alignment horizontal="right" vertical="bottom"/>
    </xf>
    <xf numFmtId="165" fontId="7" fillId="4" borderId="3" applyAlignment="1" pivotButton="0" quotePrefix="0" xfId="0">
      <alignment horizontal="right" vertical="bottom"/>
    </xf>
    <xf numFmtId="0" fontId="12" fillId="4" borderId="3" applyAlignment="1" pivotButton="0" quotePrefix="0" xfId="0">
      <alignment horizontal="general" vertical="bottom" wrapText="1"/>
    </xf>
    <xf numFmtId="0" fontId="0" fillId="0" borderId="3" pivotButton="0" quotePrefix="0" xfId="0"/>
    <xf numFmtId="166" fontId="13" fillId="4" borderId="3" applyAlignment="1" pivotButton="0" quotePrefix="0" xfId="0">
      <alignment horizontal="right" vertical="bottom"/>
    </xf>
    <xf numFmtId="166" fontId="7" fillId="4" borderId="3" applyAlignment="1" pivotButton="0" quotePrefix="0" xfId="0">
      <alignment horizontal="right" vertical="bottom"/>
    </xf>
    <xf numFmtId="167" fontId="13" fillId="4" borderId="3" applyAlignment="1" pivotButton="0" quotePrefix="0" xfId="0">
      <alignment horizontal="right" vertical="bottom"/>
    </xf>
    <xf numFmtId="167" fontId="7" fillId="4" borderId="3" applyAlignment="1" pivotButton="0" quotePrefix="0" xfId="0">
      <alignment horizontal="right" vertical="bottom"/>
    </xf>
    <xf numFmtId="0" fontId="14" fillId="0" borderId="0" applyAlignment="1" pivotButton="0" quotePrefix="0" xfId="0">
      <alignment horizontal="general" vertical="bottom"/>
    </xf>
    <xf numFmtId="0" fontId="15" fillId="5" borderId="0" applyAlignment="1" pivotButton="0" quotePrefix="0" xfId="0">
      <alignment horizontal="general" vertical="bottom"/>
    </xf>
    <xf numFmtId="0" fontId="13" fillId="6" borderId="0" applyAlignment="1" pivotButton="0" quotePrefix="0" xfId="0">
      <alignment horizontal="general" vertical="bottom"/>
    </xf>
    <xf numFmtId="0" fontId="7" fillId="6" borderId="0" applyAlignment="1" pivotButton="0" quotePrefix="0" xfId="0">
      <alignment horizontal="general" vertical="bottom"/>
    </xf>
    <xf numFmtId="0" fontId="7" fillId="7" borderId="0" applyAlignment="1" pivotButton="0" quotePrefix="0" xfId="0">
      <alignment horizontal="general" vertical="bottom"/>
    </xf>
    <xf numFmtId="0" fontId="8" fillId="7" borderId="0" applyAlignment="1" pivotButton="0" quotePrefix="0" xfId="0">
      <alignment horizontal="general" vertical="bottom" wrapText="1"/>
    </xf>
    <xf numFmtId="0" fontId="7" fillId="0" borderId="4" applyAlignment="1" pivotButton="0" quotePrefix="0" xfId="0">
      <alignment horizontal="general" vertical="top" wrapText="1"/>
    </xf>
    <xf numFmtId="0" fontId="16" fillId="0" borderId="4" applyAlignment="1" pivotButton="0" quotePrefix="0" xfId="0">
      <alignment horizontal="general" vertical="top" wrapText="1"/>
    </xf>
    <xf numFmtId="0" fontId="11" fillId="0" borderId="4" applyAlignment="1" pivotButton="0" quotePrefix="0" xfId="0">
      <alignment horizontal="right" vertical="top" wrapText="1"/>
    </xf>
    <xf numFmtId="167" fontId="11" fillId="0" borderId="4" applyAlignment="1" pivotButton="0" quotePrefix="0" xfId="0">
      <alignment horizontal="right" vertical="top" wrapText="1"/>
    </xf>
    <xf numFmtId="165" fontId="11" fillId="0" borderId="4" applyAlignment="1" pivotButton="0" quotePrefix="0" xfId="0">
      <alignment horizontal="right" vertical="top" wrapText="1"/>
    </xf>
    <xf numFmtId="0" fontId="16" fillId="0" borderId="0" applyAlignment="1" pivotButton="0" quotePrefix="0" xfId="0">
      <alignment horizontal="general" vertical="bottom"/>
    </xf>
    <xf numFmtId="169" fontId="7" fillId="3" borderId="2" applyAlignment="1" pivotButton="0" quotePrefix="0" xfId="0">
      <alignment horizontal="center" vertical="center" wrapText="1"/>
    </xf>
    <xf numFmtId="167" fontId="16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top" wrapText="1"/>
    </xf>
    <xf numFmtId="167" fontId="16" fillId="0" borderId="0" applyAlignment="1" pivotButton="0" quotePrefix="0" xfId="0">
      <alignment horizontal="general" vertical="bottom"/>
    </xf>
    <xf numFmtId="165" fontId="16" fillId="0" borderId="0" applyAlignment="1" pivotButton="0" quotePrefix="0" xfId="0">
      <alignment horizontal="right" vertical="bottom"/>
    </xf>
    <xf numFmtId="167" fontId="11" fillId="0" borderId="0" applyAlignment="1" pivotButton="0" quotePrefix="0" xfId="0">
      <alignment horizontal="right" vertical="top"/>
    </xf>
    <xf numFmtId="167" fontId="18" fillId="5" borderId="0" applyAlignment="1" applyProtection="1" pivotButton="0" quotePrefix="0" xfId="0">
      <alignment horizontal="right" vertical="top"/>
      <protection locked="0" hidden="0"/>
    </xf>
    <xf numFmtId="0" fontId="8" fillId="0" borderId="0" applyAlignment="1" pivotButton="0" quotePrefix="0" xfId="0">
      <alignment horizontal="general" vertical="top"/>
    </xf>
    <xf numFmtId="166" fontId="16" fillId="0" borderId="0" applyAlignment="1" pivotButton="0" quotePrefix="0" xfId="0">
      <alignment horizontal="right" vertical="top"/>
    </xf>
    <xf numFmtId="166" fontId="18" fillId="5" borderId="0" applyAlignment="1" applyProtection="1" pivotButton="0" quotePrefix="0" xfId="0">
      <alignment horizontal="right" vertical="top"/>
      <protection locked="0" hidden="0"/>
    </xf>
    <xf numFmtId="167" fontId="16" fillId="0" borderId="0" applyAlignment="1" pivotButton="0" quotePrefix="0" xfId="0">
      <alignment horizontal="right" vertical="top"/>
    </xf>
    <xf numFmtId="165" fontId="16" fillId="0" borderId="0" applyAlignment="1" pivotButton="0" quotePrefix="0" xfId="0">
      <alignment horizontal="right" vertical="top"/>
    </xf>
    <xf numFmtId="165" fontId="18" fillId="5" borderId="0" applyAlignment="1" applyProtection="1" pivotButton="0" quotePrefix="0" xfId="0">
      <alignment horizontal="right" vertical="top"/>
      <protection locked="0" hidden="0"/>
    </xf>
    <xf numFmtId="1" fontId="16" fillId="0" borderId="0" applyAlignment="1" pivotButton="0" quotePrefix="0" xfId="0">
      <alignment horizontal="right" vertical="top"/>
    </xf>
    <xf numFmtId="1" fontId="18" fillId="5" borderId="0" applyAlignment="1" applyProtection="1" pivotButton="0" quotePrefix="0" xfId="0">
      <alignment horizontal="right" vertical="top"/>
      <protection locked="0" hidden="0"/>
    </xf>
    <xf numFmtId="165" fontId="18" fillId="5" borderId="0" applyAlignment="1" applyProtection="1" pivotButton="0" quotePrefix="0" xfId="0">
      <alignment horizontal="right" vertical="bottom"/>
      <protection locked="0" hidden="0"/>
    </xf>
    <xf numFmtId="167" fontId="11" fillId="0" borderId="0" applyAlignment="1" pivotButton="0" quotePrefix="0" xfId="0">
      <alignment horizontal="right" vertical="bottom"/>
    </xf>
    <xf numFmtId="166" fontId="11" fillId="0" borderId="0" applyAlignment="1" pivotButton="0" quotePrefix="0" xfId="0">
      <alignment horizontal="right" vertical="bottom"/>
    </xf>
    <xf numFmtId="0" fontId="12" fillId="0" borderId="3" applyAlignment="1" pivotButton="0" quotePrefix="0" xfId="0">
      <alignment horizontal="general" vertical="bottom"/>
    </xf>
    <xf numFmtId="167" fontId="7" fillId="0" borderId="3" applyAlignment="1" pivotButton="0" quotePrefix="0" xfId="0">
      <alignment horizontal="right" vertical="bottom"/>
    </xf>
    <xf numFmtId="168" fontId="7" fillId="3" borderId="0" applyAlignment="1" pivotButton="0" quotePrefix="0" xfId="0">
      <alignment horizontal="right" vertical="bottom"/>
    </xf>
    <xf numFmtId="165" fontId="11" fillId="0" borderId="0" applyAlignment="1" pivotButton="0" quotePrefix="0" xfId="0">
      <alignment horizontal="right" vertical="bottom"/>
    </xf>
    <xf numFmtId="167" fontId="13" fillId="0" borderId="3" applyAlignment="1" pivotButton="0" quotePrefix="0" xfId="0">
      <alignment horizontal="right" vertical="bottom"/>
    </xf>
    <xf numFmtId="1" fontId="11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bottom"/>
    </xf>
    <xf numFmtId="166" fontId="11" fillId="3" borderId="2" applyAlignment="1" pivotButton="0" quotePrefix="0" xfId="0">
      <alignment horizontal="center" vertical="center" wrapText="1"/>
    </xf>
    <xf numFmtId="165" fontId="11" fillId="4" borderId="0" applyAlignment="1" pivotButton="0" quotePrefix="0" xfId="0">
      <alignment horizontal="right" vertical="bottom"/>
    </xf>
    <xf numFmtId="166" fontId="16" fillId="0" borderId="0" applyAlignment="1" pivotButton="0" quotePrefix="0" xfId="0">
      <alignment horizontal="right" vertical="bottom"/>
    </xf>
    <xf numFmtId="0" fontId="12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bottom" wrapText="1"/>
    </xf>
    <xf numFmtId="0" fontId="11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top" wrapText="1"/>
    </xf>
    <xf numFmtId="0" fontId="20" fillId="0" borderId="0" applyAlignment="1" pivotButton="0" quotePrefix="0" xfId="0">
      <alignment horizontal="general" vertical="top" wrapText="1"/>
    </xf>
    <xf numFmtId="164" fontId="16" fillId="0" borderId="0" applyAlignment="1" pivotButton="0" quotePrefix="0" xfId="0">
      <alignment horizontal="general" vertical="top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ill>
        <patternFill>
          <bgColor rgb="FFE2F0D9"/>
        </patternFill>
      </fill>
    </dxf>
    <dxf>
      <fill>
        <patternFill>
          <bgColor rgb="FFFFF2CC"/>
        </patternFill>
      </fill>
    </dxf>
    <dxf>
      <fill>
        <patternFill>
          <bgColor rgb="FFFCE4D6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563C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5B9BD5"/>
      <rgbColor rgb="FF993366"/>
      <rgbColor rgb="FFFFF2CC"/>
      <rgbColor rgb="FFD9EA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E2F0D9"/>
      <rgbColor rgb="FFFFFF99"/>
      <rgbColor rgb="FF99CCFF"/>
      <rgbColor rgb="FFFF99CC"/>
      <rgbColor rgb="FFCC99FF"/>
      <rgbColor rgb="FFFCE4D6"/>
      <rgbColor rgb="FF4472C4"/>
      <rgbColor rgb="FF33CCCC"/>
      <rgbColor rgb="FF99CC00"/>
      <rgbColor rgb="FFFFC000"/>
      <rgbColor rgb="FFFF9900"/>
      <rgbColor rgb="FFFF6600"/>
      <rgbColor rgb="FF666666"/>
      <rgbColor rgb="FF70AD47"/>
      <rgbColor rgb="FF17365D"/>
      <rgbColor rgb="FF00B050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comments/comment1.xml><?xml version="1.0" encoding="utf-8"?>
<comments xmlns="http://schemas.openxmlformats.org/spreadsheetml/2006/main">
  <authors>
    <author>FIN 4004</author>
  </authors>
  <commentList>
    <comment ref="C5" authorId="0" shapeId="0">
      <text>
        <t>Editable student LBO input. Keep the displayed units in USD millions.</t>
      </text>
    </comment>
    <comment ref="C6" authorId="0" shapeId="0">
      <text>
        <t>Editable student assumption. The initial value matches the automated model so differences are attributable to your judgment.</t>
      </text>
    </comment>
    <comment ref="C7" authorId="0" shapeId="0">
      <text>
        <t>Editable student LBO input. Keep the displayed units in USD millions.</t>
      </text>
    </comment>
    <comment ref="C8" authorId="0" shapeId="0">
      <text>
        <t>Editable student LBO input. Keep the displayed units in USD millions.</t>
      </text>
    </comment>
    <comment ref="C9" authorId="0" shapeId="0">
      <text>
        <t>Editable student assumption. The initial value matches the automated model so differences are attributable to your judgment.</t>
      </text>
    </comment>
    <comment ref="C10" authorId="0" shapeId="0">
      <text>
        <t>Editable student assumption. The initial value matches the automated model so differences are attributable to your judgment.</t>
      </text>
    </comment>
    <comment ref="C11" authorId="0" shapeId="0">
      <text>
        <t>Editable student assumption. The initial value matches the automated model so differences are attributable to your judgment.</t>
      </text>
    </comment>
    <comment ref="C12" authorId="0" shapeId="0">
      <text>
        <t>Editable student assumption. The initial value matches the automated model so differences are attributable to your judgment.</t>
      </text>
    </comment>
    <comment ref="C13" authorId="0" shapeId="0">
      <text>
        <t>Editable student assumption. The initial value matches the automated model so differences are attributable to your judgment.</t>
      </text>
    </comment>
    <comment ref="C14" authorId="0" shapeId="0">
      <text>
        <t>Editable student assumption. The initial value matches the automated model so differences are attributable to your judgment.</t>
      </text>
    </comment>
    <comment ref="C15" authorId="0" shapeId="0">
      <text>
        <t>Editable student assumption. The initial value matches the automated model so differences are attributable to your judgment.</t>
      </text>
    </comment>
    <comment ref="C16" authorId="0" shapeId="0">
      <text>
        <t>Editable student assumption. The initial value matches the automated model so differences are attributable to your judgment.</t>
      </text>
    </comment>
    <comment ref="C17" authorId="0" shapeId="0">
      <text>
        <t>Editable student assumption. The initial value matches the automated model so differences are attributable to your judgment.</t>
      </text>
    </comment>
    <comment ref="C18" authorId="0" shapeId="0">
      <text>
        <t>Editable student assumption. The initial value matches the automated model so differences are attributable to your judgment.</t>
      </text>
    </comment>
    <comment ref="C19" authorId="0" shapeId="0">
      <text>
        <t>Editable student assumption. The initial value matches the automated model so differences are attributable to your judgment.</t>
      </text>
    </comment>
    <comment ref="C20" authorId="0" shapeId="0">
      <text>
        <t>Editable student assumption. The initial value matches the automated model so differences are attributable to your judgment.</t>
      </text>
    </comment>
    <comment ref="C21" authorId="0" shapeId="0">
      <text>
        <t>Editable student assumption. The initial value matches the automated model so differences are attributable to your judgment.</t>
      </text>
    </comment>
    <comment ref="C22" authorId="0" shapeId="0">
      <text>
        <t>Editable student assumption. The initial value matches the automated model so differences are attributable to your judgment.</t>
      </text>
    </comment>
    <comment ref="B37" authorId="0" shapeId="0">
      <text>
        <t>Editable student annual LBO driver. Explain material differences from the instructor case.</t>
      </text>
    </comment>
    <comment ref="C37" authorId="0" shapeId="0">
      <text>
        <t>Editable student annual LBO driver. Explain material differences from the instructor case.</t>
      </text>
    </comment>
    <comment ref="D37" authorId="0" shapeId="0">
      <text>
        <t>Editable student annual LBO driver. Explain material differences from the instructor case.</t>
      </text>
    </comment>
    <comment ref="E37" authorId="0" shapeId="0">
      <text>
        <t>Editable student annual LBO driver. Explain material differences from the instructor case.</t>
      </text>
    </comment>
    <comment ref="F37" authorId="0" shapeId="0">
      <text>
        <t>Editable student annual LBO driver. Explain material differences from the instructor case.</t>
      </text>
    </comment>
    <comment ref="B38" authorId="0" shapeId="0">
      <text>
        <t>Editable student annual LBO driver. Explain material differences from the instructor case.</t>
      </text>
    </comment>
    <comment ref="C38" authorId="0" shapeId="0">
      <text>
        <t>Editable student annual LBO driver. Explain material differences from the instructor case.</t>
      </text>
    </comment>
    <comment ref="D38" authorId="0" shapeId="0">
      <text>
        <t>Editable student annual LBO driver. Explain material differences from the instructor case.</t>
      </text>
    </comment>
    <comment ref="E38" authorId="0" shapeId="0">
      <text>
        <t>Editable student annual LBO driver. Explain material differences from the instructor case.</t>
      </text>
    </comment>
    <comment ref="F38" authorId="0" shapeId="0">
      <text>
        <t>Editable student annual LBO driver. Explain material differences from the instructor case.</t>
      </text>
    </comment>
    <comment ref="B39" authorId="0" shapeId="0">
      <text>
        <t>Editable student annual LBO driver. Explain material differences from the instructor case.</t>
      </text>
    </comment>
    <comment ref="C39" authorId="0" shapeId="0">
      <text>
        <t>Editable student annual LBO driver. Explain material differences from the instructor case.</t>
      </text>
    </comment>
    <comment ref="D39" authorId="0" shapeId="0">
      <text>
        <t>Editable student annual LBO driver. Explain material differences from the instructor case.</t>
      </text>
    </comment>
    <comment ref="E39" authorId="0" shapeId="0">
      <text>
        <t>Editable student annual LBO driver. Explain material differences from the instructor case.</t>
      </text>
    </comment>
    <comment ref="F39" authorId="0" shapeId="0">
      <text>
        <t>Editable student annual LBO driver. Explain material differences from the instructor case.</t>
      </text>
    </comment>
    <comment ref="B40" authorId="0" shapeId="0">
      <text>
        <t>Editable student annual LBO driver. Explain material differences from the instructor case.</t>
      </text>
    </comment>
    <comment ref="C40" authorId="0" shapeId="0">
      <text>
        <t>Editable student annual LBO driver. Explain material differences from the instructor case.</t>
      </text>
    </comment>
    <comment ref="D40" authorId="0" shapeId="0">
      <text>
        <t>Editable student annual LBO driver. Explain material differences from the instructor case.</t>
      </text>
    </comment>
    <comment ref="E40" authorId="0" shapeId="0">
      <text>
        <t>Editable student annual LBO driver. Explain material differences from the instructor case.</t>
      </text>
    </comment>
    <comment ref="F40" authorId="0" shapeId="0">
      <text>
        <t>Editable student annual LBO driver. Explain material differences from the instructor case.</t>
      </text>
    </comment>
    <comment ref="B41" authorId="0" shapeId="0">
      <text>
        <t>Editable student annual LBO driver. Explain material differences from the instructor case.</t>
      </text>
    </comment>
    <comment ref="C41" authorId="0" shapeId="0">
      <text>
        <t>Editable student annual LBO driver. Explain material differences from the instructor case.</t>
      </text>
    </comment>
    <comment ref="D41" authorId="0" shapeId="0">
      <text>
        <t>Editable student annual LBO driver. Explain material differences from the instructor case.</t>
      </text>
    </comment>
    <comment ref="E41" authorId="0" shapeId="0">
      <text>
        <t>Editable student annual LBO driver. Explain material differences from the instructor case.</t>
      </text>
    </comment>
    <comment ref="F41" authorId="0" shapeId="0">
      <text>
        <t>Editable student annual LBO driver. Explain material differences from the instructor case.</t>
      </text>
    </comment>
    <comment ref="B42" authorId="0" shapeId="0">
      <text>
        <t>Editable student annual LBO driver. Explain material differences from the instructor case.</t>
      </text>
    </comment>
    <comment ref="C42" authorId="0" shapeId="0">
      <text>
        <t>Editable student annual LBO driver. Explain material differences from the instructor case.</t>
      </text>
    </comment>
    <comment ref="D42" authorId="0" shapeId="0">
      <text>
        <t>Editable student annual LBO driver. Explain material differences from the instructor case.</t>
      </text>
    </comment>
    <comment ref="E42" authorId="0" shapeId="0">
      <text>
        <t>Editable student annual LBO driver. Explain material differences from the instructor case.</t>
      </text>
    </comment>
    <comment ref="F42" authorId="0" shapeId="0">
      <text>
        <t>Editable student annual LBO driver. Explain material differences from the instructor case.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2.xml.rels><Relationships xmlns="http://schemas.openxmlformats.org/package/2006/relationships"><Relationship Type="http://schemas.openxmlformats.org/officeDocument/2006/relationships/hyperlink" Target="https://data.sec.gov/api/xbrl/companyfacts/CIK0000865436.json" TargetMode="External" Id="rId1"/><Relationship Type="http://schemas.openxmlformats.org/officeDocument/2006/relationships/hyperlink" Target="https://data.sec.gov/api/xbrl/companyfacts/CIK0000865436.json" TargetMode="External" Id="rId2"/><Relationship Type="http://schemas.openxmlformats.org/officeDocument/2006/relationships/hyperlink" Target="https://data.sec.gov/api/xbrl/companyfacts/CIK0000865436.json" TargetMode="External" Id="rId3"/><Relationship Type="http://schemas.openxmlformats.org/officeDocument/2006/relationships/hyperlink" Target="https://data.sec.gov/api/xbrl/companyfacts/CIK0000865436.json" TargetMode="External" Id="rId4"/><Relationship Type="http://schemas.openxmlformats.org/officeDocument/2006/relationships/hyperlink" Target="https://data.sec.gov/api/xbrl/companyfacts/CIK0000865436.json" TargetMode="External" Id="rId5"/><Relationship Type="http://schemas.openxmlformats.org/officeDocument/2006/relationships/hyperlink" Target="https://data.sec.gov/api/xbrl/companyfacts/CIK0000865436.json" TargetMode="External" Id="rId6"/><Relationship Type="http://schemas.openxmlformats.org/officeDocument/2006/relationships/hyperlink" Target="https://data.sec.gov/api/xbrl/companyfacts/CIK0000865436.json" TargetMode="External" Id="rId7"/><Relationship Type="http://schemas.openxmlformats.org/officeDocument/2006/relationships/hyperlink" Target="https://data.sec.gov/api/xbrl/companyfacts/CIK0000865436.json" TargetMode="External" Id="rId8"/><Relationship Type="http://schemas.openxmlformats.org/officeDocument/2006/relationships/hyperlink" Target="https://data.sec.gov/api/xbrl/companyfacts/CIK0000865436.json" TargetMode="External" Id="rId9"/><Relationship Type="http://schemas.openxmlformats.org/officeDocument/2006/relationships/hyperlink" Target="https://data.sec.gov/api/xbrl/companyfacts/CIK0000865436.json" TargetMode="External" Id="rId10"/><Relationship Type="http://schemas.openxmlformats.org/officeDocument/2006/relationships/hyperlink" Target="https://data.sec.gov/api/xbrl/companyfacts/CIK0000865436.json" TargetMode="External" Id="rId11"/><Relationship Type="http://schemas.openxmlformats.org/officeDocument/2006/relationships/hyperlink" Target="https://data.sec.gov/submissions/CIK0000865436.json" TargetMode="External" Id="rId12"/><Relationship Type="http://schemas.openxmlformats.org/officeDocument/2006/relationships/hyperlink" Target="https://data.sec.gov/api/xbrl/companyfacts/CIK0000865436.json" TargetMode="External" Id="rId13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 filterMode="0">
    <tabColor rgb="FF17365D"/>
    <outlinePr summaryBelow="1" summaryRight="1"/>
    <pageSetUpPr fitToPage="1"/>
  </sheetPr>
  <dimension ref="A1:H38"/>
  <sheetViews>
    <sheetView showFormulas="0" showGridLines="0" showRowColHeaders="1" showZeros="1" rightToLeft="0" tabSelected="1" showOutlineSymbols="1" defaultGridColor="1" view="normal" topLeftCell="A1" colorId="64" zoomScale="90" zoomScaleNormal="9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2" customWidth="1" style="73" min="1" max="1"/>
    <col width="18" customWidth="1" style="73" min="2" max="4"/>
    <col width="15" customWidth="1" style="73" min="5" max="5"/>
    <col width="20" customWidth="1" style="73" min="6" max="8"/>
  </cols>
  <sheetData>
    <row r="1" ht="27" customHeight="1" s="74">
      <c r="A1" s="75" t="inlineStr">
        <is>
          <t>Whole Foods Market, Inc. (WFM)</t>
        </is>
      </c>
    </row>
    <row r="2" ht="25.5" customHeight="1" s="74">
      <c r="A2" s="76" t="inlineStr">
        <is>
          <t>FIN 4004 — Chapter 4: Leveraged Buyout Returns</t>
        </is>
      </c>
    </row>
    <row r="3"/>
    <row r="4" ht="18" customHeight="1" s="74">
      <c r="A4" s="77" t="inlineStr">
        <is>
          <t>Valuation context</t>
        </is>
      </c>
      <c r="F4" s="77" t="inlineStr">
        <is>
          <t>Model status</t>
        </is>
      </c>
    </row>
    <row r="5" ht="15" customHeight="1" s="74">
      <c r="A5" s="78" t="inlineStr">
        <is>
          <t>Company</t>
        </is>
      </c>
      <c r="B5" s="79" t="inlineStr">
        <is>
          <t>Whole Foods Market, Inc.</t>
        </is>
      </c>
      <c r="F5" s="80">
        <f>Checks!B4</f>
        <v/>
      </c>
      <c r="G5" s="81" t="n"/>
      <c r="H5" s="81" t="n"/>
    </row>
    <row r="6" ht="15" customHeight="1" s="74">
      <c r="A6" s="78" t="inlineStr">
        <is>
          <t>Ticker</t>
        </is>
      </c>
      <c r="B6" s="79" t="inlineStr">
        <is>
          <t>WFM</t>
        </is>
      </c>
      <c r="F6" s="82" t="n"/>
    </row>
    <row r="7" ht="15" customHeight="1" s="74">
      <c r="A7" s="78" t="inlineStr">
        <is>
          <t>Method</t>
        </is>
      </c>
      <c r="B7" s="79" t="inlineStr">
        <is>
          <t>4 — Leveraged Buyout Returns</t>
        </is>
      </c>
    </row>
    <row r="8" ht="15" customHeight="1" s="74">
      <c r="A8" s="78" t="inlineStr">
        <is>
          <t>Valuation Date</t>
        </is>
      </c>
      <c r="B8" s="83" t="n">
        <v>42901</v>
      </c>
      <c r="F8" s="84" t="inlineStr">
        <is>
          <t>PASS = integrity checks passed. BELOW TARGET = required return not met, but the model can still be correct. LIMITED = usable only with a disclosed limitation. FAIL = correct the model before use.</t>
        </is>
      </c>
    </row>
    <row r="9" ht="15" customHeight="1" s="74">
      <c r="A9" s="78" t="inlineStr">
        <is>
          <t>Currency</t>
        </is>
      </c>
      <c r="B9" s="79" t="inlineStr">
        <is>
          <t>USD</t>
        </is>
      </c>
    </row>
    <row r="10" ht="18" customHeight="1" s="74">
      <c r="A10" s="78" t="inlineStr">
        <is>
          <t>Display Units</t>
        </is>
      </c>
      <c r="B10" s="79" t="inlineStr">
        <is>
          <t>USD millions, except rates and multiples</t>
        </is>
      </c>
      <c r="F10" s="77" t="inlineStr">
        <is>
          <t>Model status detail</t>
        </is>
      </c>
    </row>
    <row r="11" ht="15" customHeight="1" s="74">
      <c r="A11" s="78" t="inlineStr">
        <is>
          <t>Model Version</t>
        </is>
      </c>
      <c r="B11" s="79" t="inlineStr">
        <is>
          <t>3.0 — five-step AI valuation and student template</t>
        </is>
      </c>
      <c r="F11" s="85">
        <f>IF(Checks!B4="PASS",IF(Returns!B23="Yes","All integrity checks passed. Sponsor IRR meets the selected target.","All integrity checks passed. Sponsor IRR is below the selected target; the investment threshold is not met."),IF(Checks!B4="FAIL","Correct failed checks before use.","LIMITED: review Checks for the specific liquidity, source, or assumption limitation."))</f>
        <v/>
      </c>
    </row>
    <row r="12" ht="15" customHeight="1" s="74"/>
    <row r="13"/>
    <row r="14" ht="18" customHeight="1" s="74">
      <c r="A14" s="77" t="inlineStr">
        <is>
          <t>Key output — AI valuation vs student template</t>
        </is>
      </c>
    </row>
    <row r="15" ht="28.5" customHeight="1" s="74">
      <c r="A15" s="86" t="inlineStr">
        <is>
          <t>Output</t>
        </is>
      </c>
      <c r="B15" s="86" t="inlineStr">
        <is>
          <t>AI Valuation</t>
        </is>
      </c>
      <c r="C15" s="86" t="inlineStr">
        <is>
          <t>Student Template</t>
        </is>
      </c>
      <c r="D15" s="86" t="inlineStr">
        <is>
          <t>Difference</t>
        </is>
      </c>
      <c r="E15" s="86" t="inlineStr">
        <is>
          <t>Units</t>
        </is>
      </c>
      <c r="F15" s="86" t="inlineStr">
        <is>
          <t>Read This</t>
        </is>
      </c>
      <c r="G15" s="86" t="n"/>
      <c r="H15" s="86" t="n"/>
    </row>
    <row r="16" ht="15" customHeight="1" s="74">
      <c r="A16" s="87" t="inlineStr">
        <is>
          <t>Sponsor IRR</t>
        </is>
      </c>
      <c r="B16" s="88">
        <f>Valuation!B6</f>
        <v/>
      </c>
      <c r="C16" s="88">
        <f>Valuation!C6</f>
        <v/>
      </c>
      <c r="D16" s="89">
        <f>IF(AND(ISNUMBER(B16),ISNUMBER(C16)),C16-B16,"N/M")</f>
        <v/>
      </c>
      <c r="E16" s="87" t="inlineStr">
        <is>
          <t>Annual return</t>
        </is>
      </c>
      <c r="F16" s="90" t="inlineStr">
        <is>
          <t>Primary sponsor return.</t>
        </is>
      </c>
      <c r="G16" s="91" t="n"/>
      <c r="H16" s="91" t="n"/>
    </row>
    <row r="17" ht="15" customHeight="1" s="74">
      <c r="A17" s="87" t="inlineStr">
        <is>
          <t>Sponsor MOIC</t>
        </is>
      </c>
      <c r="B17" s="92">
        <f>Valuation!B7</f>
        <v/>
      </c>
      <c r="C17" s="92">
        <f>Valuation!C7</f>
        <v/>
      </c>
      <c r="D17" s="93">
        <f>IF(AND(ISNUMBER(B17),ISNUMBER(C17)),C17-B17,"N/M")</f>
        <v/>
      </c>
      <c r="E17" s="87" t="inlineStr">
        <is>
          <t>Multiple</t>
        </is>
      </c>
      <c r="F17" s="90" t="inlineStr">
        <is>
          <t>Primary sponsor return.</t>
        </is>
      </c>
      <c r="G17" s="91" t="n"/>
      <c r="H17" s="91" t="n"/>
    </row>
    <row r="18" ht="15" customHeight="1" s="74">
      <c r="A18" s="87" t="inlineStr">
        <is>
          <t>Maximum Entry Enterprise Value</t>
        </is>
      </c>
      <c r="B18" s="94">
        <f>Valuation!B11</f>
        <v/>
      </c>
      <c r="C18" s="94">
        <f>Valuation!C11</f>
        <v/>
      </c>
      <c r="D18" s="95">
        <f>IF(AND(ISNUMBER(B18),ISNUMBER(C18)),C18-B18,"N/M")</f>
        <v/>
      </c>
      <c r="E18" s="87" t="inlineStr">
        <is>
          <t>USD mm</t>
        </is>
      </c>
      <c r="F18" s="90" t="inlineStr">
        <is>
          <t>Maximum affordable price at the target IRR.</t>
        </is>
      </c>
      <c r="G18" s="91" t="n"/>
      <c r="H18" s="91" t="n"/>
    </row>
    <row r="19"/>
    <row r="20"/>
    <row r="21" ht="18" customHeight="1" s="74">
      <c r="A21" s="77" t="inlineStr">
        <is>
          <t>Required five-step chapter workflow</t>
        </is>
      </c>
    </row>
    <row r="22" ht="15" customHeight="1" s="74">
      <c r="A22" s="96" t="inlineStr">
        <is>
          <t>Step I. Define the Transaction and Build Sources &amp; Uses — Assumptions / Sources &amp; Uses</t>
        </is>
      </c>
    </row>
    <row r="23" ht="15" customHeight="1" s="74">
      <c r="A23" s="96" t="inlineStr">
        <is>
          <t>Step II. Forecast Operations and Cash Available for Debt Repayment — Operating Forecast</t>
        </is>
      </c>
    </row>
    <row r="24" ht="15" customHeight="1" s="74">
      <c r="A24" s="96" t="inlineStr">
        <is>
          <t>Step III. Build the Debt, Interest, and Cash-Sweep Schedule — Debt Schedule</t>
        </is>
      </c>
    </row>
    <row r="25" ht="15" customHeight="1" s="74">
      <c r="A25" s="96" t="inlineStr">
        <is>
          <t>Step IV. Calculate Exit Enterprise Value and Sponsor Equity Proceeds — Returns</t>
        </is>
      </c>
    </row>
    <row r="26" ht="15" customHeight="1" s="74">
      <c r="A26" s="96" t="inlineStr">
        <is>
          <t>Step V. Calculate MOIC, IRR, Maximum Purchase Price, and Sensitivities — Returns / Sensitivity / Valuation</t>
        </is>
      </c>
    </row>
    <row r="27"/>
    <row r="28"/>
    <row r="29" ht="18" customHeight="1" s="74">
      <c r="A29" s="77" t="inlineStr">
        <is>
          <t>Color legend</t>
        </is>
      </c>
    </row>
    <row r="30" ht="15" customHeight="1" s="74">
      <c r="A30" s="97" t="inlineStr">
        <is>
          <t>Blue input</t>
        </is>
      </c>
      <c r="B30" s="79" t="inlineStr">
        <is>
          <t>Editable assumption / inclusion decision</t>
        </is>
      </c>
    </row>
    <row r="31" ht="15" customHeight="1" s="74">
      <c r="A31" s="98" t="inlineStr">
        <is>
          <t>Green formula</t>
        </is>
      </c>
      <c r="B31" s="79" t="inlineStr">
        <is>
          <t>Link to another worksheet in this workbook</t>
        </is>
      </c>
    </row>
    <row r="32" ht="15" customHeight="1" s="74">
      <c r="A32" s="99" t="inlineStr">
        <is>
          <t>Black</t>
        </is>
      </c>
      <c r="B32" s="79" t="inlineStr">
        <is>
          <t>Source value or formula calculated on the same sheet</t>
        </is>
      </c>
    </row>
    <row r="33" ht="15" customHeight="1" s="74">
      <c r="A33" s="100" t="inlineStr">
        <is>
          <t>N/M</t>
        </is>
      </c>
      <c r="B33" s="79" t="inlineStr">
        <is>
          <t>Not meaningful / not available; read the adjacent explanation</t>
        </is>
      </c>
    </row>
    <row r="34"/>
    <row r="35"/>
    <row r="36" ht="18" customHeight="1" s="74">
      <c r="A36" s="77" t="inlineStr">
        <is>
          <t>Data warnings</t>
        </is>
      </c>
    </row>
    <row r="37" ht="15" customHeight="1" s="74">
      <c r="A37" s="101" t="inlineStr">
        <is>
          <t>• This Whole Foods LBO is a hypothetical classroom case. It does not represent Amazon's actual acquisition financing or structure.</t>
        </is>
      </c>
    </row>
    <row r="38" ht="15" customHeight="1" s="74">
      <c r="A38" s="101" t="inlineStr">
        <is>
          <t>• Whole Foods is a historical pre-announcement case. Data and transactions are capped at 2017-06-15.</t>
        </is>
      </c>
    </row>
  </sheetData>
  <mergeCells count="33">
    <mergeCell ref="B11:D11"/>
    <mergeCell ref="F18:H18"/>
    <mergeCell ref="A4:D4"/>
    <mergeCell ref="B8:D8"/>
    <mergeCell ref="F11:H12"/>
    <mergeCell ref="A24:H24"/>
    <mergeCell ref="B30:H30"/>
    <mergeCell ref="A36:H36"/>
    <mergeCell ref="F17:H17"/>
    <mergeCell ref="B33:H33"/>
    <mergeCell ref="A1:H1"/>
    <mergeCell ref="B10:D10"/>
    <mergeCell ref="B32:H32"/>
    <mergeCell ref="A25:H25"/>
    <mergeCell ref="B9:D9"/>
    <mergeCell ref="A37:H37"/>
    <mergeCell ref="B6:D6"/>
    <mergeCell ref="B31:H31"/>
    <mergeCell ref="A26:H26"/>
    <mergeCell ref="B5:D5"/>
    <mergeCell ref="A21:H21"/>
    <mergeCell ref="F5:H6"/>
    <mergeCell ref="A2:H2"/>
    <mergeCell ref="F4:H4"/>
    <mergeCell ref="F8:H9"/>
    <mergeCell ref="A14:H14"/>
    <mergeCell ref="A23:H23"/>
    <mergeCell ref="B7:D7"/>
    <mergeCell ref="A22:H22"/>
    <mergeCell ref="F10:H10"/>
    <mergeCell ref="F16:H16"/>
    <mergeCell ref="A29:H29"/>
    <mergeCell ref="A38:H38"/>
  </mergeCells>
  <conditionalFormatting sqref="F5">
    <cfRule type="expression" rank="0" priority="2" equalAverage="0" aboveAverage="0" dxfId="0" text="" percent="0" bottom="0">
      <formula>EXACT(F5,"PASS")</formula>
    </cfRule>
    <cfRule type="expression" rank="0" priority="3" equalAverage="0" aboveAverage="0" dxfId="0" text="" percent="0" bottom="0">
      <formula>EXACT(F5,"MEETS TARGET")</formula>
    </cfRule>
    <cfRule type="expression" rank="0" priority="4" equalAverage="0" aboveAverage="0" dxfId="1" text="" percent="0" bottom="0">
      <formula>EXACT(F5,"LIMITED")</formula>
    </cfRule>
    <cfRule type="expression" rank="0" priority="5" equalAverage="0" aboveAverage="0" dxfId="1" text="" percent="0" bottom="0">
      <formula>EXACT(F5,"BELOW TARGET")</formula>
    </cfRule>
    <cfRule type="expression" rank="0" priority="6" equalAverage="0" aboveAverage="0" dxfId="2" text="" percent="0" bottom="0">
      <formula>EXACT(F5,"FAIL")</formula>
    </cfRule>
  </conditionalFormatting>
  <printOptions horizontalCentered="0" verticalCentered="0" headings="0" gridLines="0" gridLinesSet="1"/>
  <pageMargins left="0.75" right="0.75" top="1" bottom="1" header="0.511811023622047" footer="0.5"/>
  <pageSetup orientation="portrait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 filterMode="0">
    <tabColor rgb="FF00B050"/>
    <outlinePr summaryBelow="1" summaryRight="1"/>
    <pageSetUpPr fitToPage="1"/>
  </sheetPr>
  <dimension ref="A1:G13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7" customWidth="1" style="73" min="1" max="1"/>
    <col width="20" customWidth="1" style="73" min="2" max="3"/>
    <col width="18" customWidth="1" style="73" min="4" max="4"/>
    <col width="17" customWidth="1" style="73" min="5" max="5"/>
    <col width="62" customWidth="1" style="73" min="6" max="6"/>
    <col width="18" customWidth="1" style="73" min="7" max="7"/>
  </cols>
  <sheetData>
    <row r="1" ht="27" customHeight="1" s="74">
      <c r="A1" s="75" t="inlineStr">
        <is>
          <t>Leveraged Buyout Sponsor Returns Summary</t>
        </is>
      </c>
    </row>
    <row r="2" ht="25.5" customHeight="1" s="74">
      <c r="A2" s="76" t="inlineStr">
        <is>
          <t>Method 4 is a sponsor returns and affordability analysis, not an intrinsic share-price valuation. IRR and MOIC are the primary outputs.</t>
        </is>
      </c>
    </row>
    <row r="3"/>
    <row r="4"/>
    <row r="5" ht="28.5" customHeight="1" s="74">
      <c r="A5" s="86" t="inlineStr">
        <is>
          <t>Output</t>
        </is>
      </c>
      <c r="B5" s="86" t="inlineStr">
        <is>
          <t>AI Valuation</t>
        </is>
      </c>
      <c r="C5" s="86" t="inlineStr">
        <is>
          <t>Student Template</t>
        </is>
      </c>
      <c r="D5" s="86" t="inlineStr">
        <is>
          <t>Difference</t>
        </is>
      </c>
      <c r="E5" s="86" t="inlineStr">
        <is>
          <t>Units</t>
        </is>
      </c>
      <c r="F5" s="86" t="inlineStr">
        <is>
          <t>Interpretation</t>
        </is>
      </c>
      <c r="G5" s="86" t="inlineStr">
        <is>
          <t>Source</t>
        </is>
      </c>
    </row>
    <row r="6" ht="15" customHeight="1" s="74">
      <c r="A6" s="87" t="inlineStr">
        <is>
          <t>Sponsor IRR</t>
        </is>
      </c>
      <c r="B6" s="88">
        <f>Returns!B21</f>
        <v/>
      </c>
      <c r="C6" s="88">
        <f>Returns!E21</f>
        <v/>
      </c>
      <c r="D6" s="89">
        <f>IF(AND(ISNUMBER(B6),ISNUMBER(C6)),C6-B6,"N/M")</f>
        <v/>
      </c>
      <c r="E6" s="87" t="inlineStr">
        <is>
          <t>Annual return</t>
        </is>
      </c>
      <c r="F6" s="87" t="inlineStr">
        <is>
          <t>Primary annualized sponsor return.</t>
        </is>
      </c>
      <c r="G6" s="87" t="inlineStr">
        <is>
          <t>Returns!21</t>
        </is>
      </c>
    </row>
    <row r="7" ht="15" customHeight="1" s="74">
      <c r="A7" s="87" t="inlineStr">
        <is>
          <t>Sponsor MOIC</t>
        </is>
      </c>
      <c r="B7" s="92">
        <f>Returns!B20</f>
        <v/>
      </c>
      <c r="C7" s="92">
        <f>Returns!E20</f>
        <v/>
      </c>
      <c r="D7" s="93">
        <f>IF(AND(ISNUMBER(B7),ISNUMBER(C7)),C7-B7,"N/M")</f>
        <v/>
      </c>
      <c r="E7" s="87" t="inlineStr">
        <is>
          <t>Multiple</t>
        </is>
      </c>
      <c r="F7" s="87" t="inlineStr">
        <is>
          <t>Sponsor proceeds divided by initial sponsor equity.</t>
        </is>
      </c>
      <c r="G7" s="87" t="inlineStr">
        <is>
          <t>Returns!20</t>
        </is>
      </c>
    </row>
    <row r="8" ht="15" customHeight="1" s="74">
      <c r="A8" s="79" t="inlineStr">
        <is>
          <t>Initial Sponsor Equity</t>
        </is>
      </c>
      <c r="B8" s="124">
        <f>Returns!B7</f>
        <v/>
      </c>
      <c r="C8" s="124">
        <f>Returns!E7</f>
        <v/>
      </c>
      <c r="D8" s="109">
        <f>IF(AND(ISNUMBER(B8),ISNUMBER(C8)),C8-B8,"N/M")</f>
        <v/>
      </c>
      <c r="E8" s="79" t="inlineStr">
        <is>
          <t>USD mm</t>
        </is>
      </c>
      <c r="F8" s="79" t="inlineStr">
        <is>
          <t>Equity invested at transaction close.</t>
        </is>
      </c>
      <c r="G8" s="79" t="inlineStr">
        <is>
          <t>Returns!7</t>
        </is>
      </c>
    </row>
    <row r="9" ht="15" customHeight="1" s="74">
      <c r="A9" s="79" t="inlineStr">
        <is>
          <t>Exit Enterprise Value</t>
        </is>
      </c>
      <c r="B9" s="124">
        <f>Returns!B12</f>
        <v/>
      </c>
      <c r="C9" s="124">
        <f>Returns!E12</f>
        <v/>
      </c>
      <c r="D9" s="109">
        <f>IF(AND(ISNUMBER(B9),ISNUMBER(C9)),C9-B9,"N/M")</f>
        <v/>
      </c>
      <c r="E9" s="79" t="inlineStr">
        <is>
          <t>USD mm</t>
        </is>
      </c>
      <c r="F9" s="79" t="inlineStr">
        <is>
          <t>Exit EBITDA multiplied by exit multiple.</t>
        </is>
      </c>
      <c r="G9" s="79" t="inlineStr">
        <is>
          <t>Returns!12</t>
        </is>
      </c>
    </row>
    <row r="10" ht="15" customHeight="1" s="74">
      <c r="A10" s="79" t="inlineStr">
        <is>
          <t>Sponsor Exit Proceeds</t>
        </is>
      </c>
      <c r="B10" s="124">
        <f>Returns!B18</f>
        <v/>
      </c>
      <c r="C10" s="124">
        <f>Returns!E18</f>
        <v/>
      </c>
      <c r="D10" s="109">
        <f>IF(AND(ISNUMBER(B10),ISNUMBER(C10)),C10-B10,"N/M")</f>
        <v/>
      </c>
      <c r="E10" s="79" t="inlineStr">
        <is>
          <t>USD mm</t>
        </is>
      </c>
      <c r="F10" s="79" t="inlineStr">
        <is>
          <t>Equity proceeds after debt, cash, and exit fees.</t>
        </is>
      </c>
      <c r="G10" s="79" t="inlineStr">
        <is>
          <t>Returns!18</t>
        </is>
      </c>
    </row>
    <row r="11" ht="15" customHeight="1" s="74">
      <c r="A11" s="87" t="inlineStr">
        <is>
          <t>Maximum Entry Enterprise Value</t>
        </is>
      </c>
      <c r="B11" s="94">
        <f>Returns!B26</f>
        <v/>
      </c>
      <c r="C11" s="94">
        <f>Returns!E26</f>
        <v/>
      </c>
      <c r="D11" s="95">
        <f>IF(AND(ISNUMBER(B11),ISNUMBER(C11)),C11-B11,"N/M")</f>
        <v/>
      </c>
      <c r="E11" s="87" t="inlineStr">
        <is>
          <t>USD mm</t>
        </is>
      </c>
      <c r="F11" s="87" t="inlineStr">
        <is>
          <t>Maximum affordable entry EV at the target IRR.</t>
        </is>
      </c>
      <c r="G11" s="87" t="inlineStr">
        <is>
          <t>Returns!26</t>
        </is>
      </c>
    </row>
    <row r="12" ht="15" customHeight="1" s="74">
      <c r="A12" s="79" t="inlineStr">
        <is>
          <t>Maximum Entry EBITDA Multiple</t>
        </is>
      </c>
      <c r="B12" s="125">
        <f>Returns!B27</f>
        <v/>
      </c>
      <c r="C12" s="125">
        <f>Returns!E27</f>
        <v/>
      </c>
      <c r="D12" s="135">
        <f>IF(AND(ISNUMBER(B12),ISNUMBER(C12)),C12-B12,"N/M")</f>
        <v/>
      </c>
      <c r="E12" s="79" t="inlineStr">
        <is>
          <t>Multiple</t>
        </is>
      </c>
      <c r="F12" s="79" t="inlineStr">
        <is>
          <t>Maximum affordable entry multiple at the target IRR.</t>
        </is>
      </c>
      <c r="G12" s="79" t="inlineStr">
        <is>
          <t>Returns!27</t>
        </is>
      </c>
    </row>
    <row r="13" ht="15" customHeight="1" s="74">
      <c r="A13" s="79" t="inlineStr">
        <is>
          <t>Maximum Equity Purchase Price</t>
        </is>
      </c>
      <c r="B13" s="124">
        <f>Returns!B28</f>
        <v/>
      </c>
      <c r="C13" s="124">
        <f>Returns!E28</f>
        <v/>
      </c>
      <c r="D13" s="109">
        <f>IF(AND(ISNUMBER(B13),ISNUMBER(C13)),C13-B13,"N/M")</f>
        <v/>
      </c>
      <c r="E13" s="79" t="inlineStr">
        <is>
          <t>USD mm</t>
        </is>
      </c>
      <c r="F13" s="79" t="inlineStr">
        <is>
          <t>Maximum equity price after the debt and cash bridge.</t>
        </is>
      </c>
      <c r="G13" s="79" t="inlineStr">
        <is>
          <t>Returns!28</t>
        </is>
      </c>
    </row>
  </sheetData>
  <mergeCells count="2">
    <mergeCell ref="A2:G2"/>
    <mergeCell ref="A1:G1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 filterMode="0">
    <tabColor rgb="FFFFC000"/>
    <outlinePr summaryBelow="1" summaryRight="1"/>
    <pageSetUpPr fitToPage="1"/>
  </sheetPr>
  <dimension ref="A1:H32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7" customWidth="1" style="73" min="1" max="1"/>
    <col width="36" customWidth="1" style="73" min="2" max="2"/>
    <col width="19" customWidth="1" style="73" min="3" max="4"/>
    <col width="15" customWidth="1" style="73" min="5" max="5"/>
    <col width="14" customWidth="1" style="73" min="6" max="7"/>
    <col width="58" customWidth="1" style="73" min="8" max="8"/>
  </cols>
  <sheetData>
    <row r="1" ht="27" customHeight="1" s="74">
      <c r="A1" s="75" t="inlineStr">
        <is>
          <t>Model Checks</t>
        </is>
      </c>
    </row>
    <row r="2" ht="25.5" customHeight="1" s="74">
      <c r="A2" s="76" t="inlineStr">
        <is>
          <t>One assertion per row. PASS means model integrity is sound. BELOW TARGET is an investment conclusion, not a model error.</t>
        </is>
      </c>
    </row>
    <row r="3"/>
    <row r="4" ht="15" customHeight="1" s="74">
      <c r="A4" s="136" t="inlineStr">
        <is>
          <t>Overall Model Status</t>
        </is>
      </c>
      <c r="B4" s="137">
        <f>IF(COUNTIF(G7:G32,"FAIL")&gt;0,"FAIL",IF(COUNTIF(G7:G32,"LIMITED")&gt;0,"LIMITED","PASS"))</f>
        <v/>
      </c>
    </row>
    <row r="5"/>
    <row r="6" ht="28.5" customHeight="1" s="74">
      <c r="A6" s="86" t="inlineStr">
        <is>
          <t>#</t>
        </is>
      </c>
      <c r="B6" s="86" t="inlineStr">
        <is>
          <t>Check</t>
        </is>
      </c>
      <c r="C6" s="86" t="inlineStr">
        <is>
          <t>Actual</t>
        </is>
      </c>
      <c r="D6" s="86" t="inlineStr">
        <is>
          <t>Expected</t>
        </is>
      </c>
      <c r="E6" s="86" t="inlineStr">
        <is>
          <t>Difference</t>
        </is>
      </c>
      <c r="F6" s="86" t="inlineStr">
        <is>
          <t>Tolerance</t>
        </is>
      </c>
      <c r="G6" s="86" t="inlineStr">
        <is>
          <t>Status</t>
        </is>
      </c>
      <c r="H6" s="86" t="inlineStr">
        <is>
          <t>Notes / Fix</t>
        </is>
      </c>
    </row>
    <row r="7" ht="30" customHeight="1" s="74">
      <c r="A7" s="138" t="n">
        <v>1</v>
      </c>
      <c r="B7" s="79" t="inlineStr">
        <is>
          <t>Reference sources equal uses</t>
        </is>
      </c>
      <c r="C7" s="124">
        <f>'Sources &amp; Uses'!B22</f>
        <v/>
      </c>
      <c r="D7" s="138" t="n">
        <v>0</v>
      </c>
      <c r="E7" s="132">
        <f>C7-D7</f>
        <v/>
      </c>
      <c r="F7" s="138" t="n">
        <v>0.0001</v>
      </c>
      <c r="G7" s="132">
        <f>IF(ABS(E7)&lt;=F7,"PASS","FAIL")</f>
        <v/>
      </c>
      <c r="H7" s="139" t="inlineStr">
        <is>
          <t>Total sources must equal total uses.</t>
        </is>
      </c>
    </row>
    <row r="8" ht="30" customHeight="1" s="74">
      <c r="A8" s="138" t="n">
        <v>2</v>
      </c>
      <c r="B8" s="79" t="inlineStr">
        <is>
          <t>Student sources equal uses</t>
        </is>
      </c>
      <c r="C8" s="124">
        <f>'Sources &amp; Uses'!E22</f>
        <v/>
      </c>
      <c r="D8" s="138" t="n">
        <v>0</v>
      </c>
      <c r="E8" s="132">
        <f>C8-D8</f>
        <v/>
      </c>
      <c r="F8" s="138" t="n">
        <v>0.0001</v>
      </c>
      <c r="G8" s="132">
        <f>IF(ABS(E8)&lt;=F8,"PASS","FAIL")</f>
        <v/>
      </c>
      <c r="H8" s="139" t="inlineStr">
        <is>
          <t>Correct the student Sources &amp; Uses formulas or blue assumptions.</t>
        </is>
      </c>
    </row>
    <row r="9" ht="30" customHeight="1" s="74">
      <c r="A9" s="138" t="n">
        <v>3</v>
      </c>
      <c r="B9" s="79" t="inlineStr">
        <is>
          <t>Reference sponsor equity is positive</t>
        </is>
      </c>
      <c r="C9" s="124">
        <f>'Sources &amp; Uses'!B20</f>
        <v/>
      </c>
      <c r="D9" s="79" t="inlineStr">
        <is>
          <t>&gt; 0</t>
        </is>
      </c>
      <c r="E9" s="79" t="inlineStr">
        <is>
          <t>N/M</t>
        </is>
      </c>
      <c r="F9" s="138" t="n">
        <v>0</v>
      </c>
      <c r="G9" s="132">
        <f>IF(AND(ISNUMBER(C9),C9&gt;0),"PASS","FAIL")</f>
        <v/>
      </c>
      <c r="H9" s="139" t="inlineStr">
        <is>
          <t>A valid LBO requires a positive initial sponsor investment.</t>
        </is>
      </c>
    </row>
    <row r="10" ht="30" customHeight="1" s="74">
      <c r="A10" s="138" t="n">
        <v>4</v>
      </c>
      <c r="B10" s="79" t="inlineStr">
        <is>
          <t>Student sponsor equity is positive</t>
        </is>
      </c>
      <c r="C10" s="124">
        <f>'Sources &amp; Uses'!E20</f>
        <v/>
      </c>
      <c r="D10" s="79" t="inlineStr">
        <is>
          <t>&gt; 0</t>
        </is>
      </c>
      <c r="E10" s="79" t="inlineStr">
        <is>
          <t>N/M</t>
        </is>
      </c>
      <c r="F10" s="138" t="n">
        <v>0</v>
      </c>
      <c r="G10" s="132">
        <f>IF(AND(ISNUMBER(C10),C10&gt;0),"PASS","FAIL")</f>
        <v/>
      </c>
      <c r="H10" s="139" t="inlineStr">
        <is>
          <t>Reduce debt or purchase price assumptions that produce nonpositive sponsor equity.</t>
        </is>
      </c>
    </row>
    <row r="11" ht="30" customHeight="1" s="74">
      <c r="A11" s="138" t="n">
        <v>5</v>
      </c>
      <c r="B11" s="79" t="inlineStr">
        <is>
          <t>Reference debt remains nonnegative</t>
        </is>
      </c>
      <c r="C11" s="140">
        <f>MIN('Debt Schedule'!B28:F28,'Debt Schedule'!B29:F29)</f>
        <v/>
      </c>
      <c r="D11" s="79" t="inlineStr">
        <is>
          <t>&gt;= 0</t>
        </is>
      </c>
      <c r="E11" s="79" t="inlineStr">
        <is>
          <t>N/M</t>
        </is>
      </c>
      <c r="F11" s="138" t="n">
        <v>0</v>
      </c>
      <c r="G11" s="132">
        <f>IF(C11&gt;=-F11,"PASS","FAIL")</f>
        <v/>
      </c>
      <c r="H11" s="139" t="inlineStr">
        <is>
          <t>Debt balances cannot become negative.</t>
        </is>
      </c>
    </row>
    <row r="12" ht="30" customHeight="1" s="74">
      <c r="A12" s="138" t="n">
        <v>6</v>
      </c>
      <c r="B12" s="79" t="inlineStr">
        <is>
          <t>Student debt remains nonnegative</t>
        </is>
      </c>
      <c r="C12" s="140">
        <f>MIN('Debt Schedule'!H28:L28,'Debt Schedule'!H29:L29)</f>
        <v/>
      </c>
      <c r="D12" s="79" t="inlineStr">
        <is>
          <t>&gt;= 0</t>
        </is>
      </c>
      <c r="E12" s="79" t="inlineStr">
        <is>
          <t>N/M</t>
        </is>
      </c>
      <c r="F12" s="138" t="n">
        <v>0</v>
      </c>
      <c r="G12" s="132">
        <f>IF(C12&gt;=-F12,"PASS","FAIL")</f>
        <v/>
      </c>
      <c r="H12" s="139" t="inlineStr">
        <is>
          <t>Debt balances cannot become negative.</t>
        </is>
      </c>
    </row>
    <row r="13" ht="30" customHeight="1" s="74">
      <c r="A13" s="138" t="n">
        <v>7</v>
      </c>
      <c r="B13" s="79" t="inlineStr">
        <is>
          <t>Reference revolver within limit</t>
        </is>
      </c>
      <c r="C13" s="140">
        <f>MAX('Debt Schedule'!B29:F29)-(Assumptions!B5*Assumptions!B13)</f>
        <v/>
      </c>
      <c r="D13" s="79" t="inlineStr">
        <is>
          <t>&lt;= 0</t>
        </is>
      </c>
      <c r="E13" s="79" t="inlineStr">
        <is>
          <t>N/M</t>
        </is>
      </c>
      <c r="F13" s="138" t="n">
        <v>0</v>
      </c>
      <c r="G13" s="132">
        <f>IF(C13&lt;=F13,"PASS","FAIL")</f>
        <v/>
      </c>
      <c r="H13" s="139" t="inlineStr">
        <is>
          <t>The revolver balance cannot exceed the stated capacity.</t>
        </is>
      </c>
    </row>
    <row r="14" ht="30" customHeight="1" s="74">
      <c r="A14" s="138" t="n">
        <v>8</v>
      </c>
      <c r="B14" s="79" t="inlineStr">
        <is>
          <t>Student revolver within limit</t>
        </is>
      </c>
      <c r="C14" s="140">
        <f>MAX('Debt Schedule'!H29:L29)-(Assumptions!C5*Assumptions!C13)</f>
        <v/>
      </c>
      <c r="D14" s="79" t="inlineStr">
        <is>
          <t>&lt;= 0</t>
        </is>
      </c>
      <c r="E14" s="79" t="inlineStr">
        <is>
          <t>N/M</t>
        </is>
      </c>
      <c r="F14" s="138" t="n">
        <v>0</v>
      </c>
      <c r="G14" s="132">
        <f>IF(C14&lt;=F14,"PASS","FAIL")</f>
        <v/>
      </c>
      <c r="H14" s="139" t="inlineStr">
        <is>
          <t>The student revolver balance cannot exceed the stated capacity.</t>
        </is>
      </c>
    </row>
    <row r="15" ht="30" customHeight="1" s="74">
      <c r="A15" s="138" t="n">
        <v>9</v>
      </c>
      <c r="B15" s="79" t="inlineStr">
        <is>
          <t>Reference liquidity shortfall</t>
        </is>
      </c>
      <c r="C15" s="140">
        <f>MAX('Debt Schedule'!B31:F31)</f>
        <v/>
      </c>
      <c r="D15" s="138" t="n">
        <v>0</v>
      </c>
      <c r="E15" s="132">
        <f>C15-D15</f>
        <v/>
      </c>
      <c r="F15" s="138" t="n">
        <v>0.0001</v>
      </c>
      <c r="G15" s="132">
        <f>IF(ABS(E15)&lt;=F15,"PASS","LIMITED")</f>
        <v/>
      </c>
      <c r="H15" s="139" t="inlineStr">
        <is>
          <t>A positive amount means cash or mandatory-amortization requirements could not be met.</t>
        </is>
      </c>
    </row>
    <row r="16" ht="30" customHeight="1" s="74">
      <c r="A16" s="138" t="n">
        <v>10</v>
      </c>
      <c r="B16" s="79" t="inlineStr">
        <is>
          <t>Student liquidity shortfall</t>
        </is>
      </c>
      <c r="C16" s="140">
        <f>MAX('Debt Schedule'!H31:L31)</f>
        <v/>
      </c>
      <c r="D16" s="138" t="n">
        <v>0</v>
      </c>
      <c r="E16" s="132">
        <f>C16-D16</f>
        <v/>
      </c>
      <c r="F16" s="138" t="n">
        <v>0.0001</v>
      </c>
      <c r="G16" s="132">
        <f>IF(ABS(E16)&lt;=F16,"PASS","LIMITED")</f>
        <v/>
      </c>
      <c r="H16" s="139" t="inlineStr">
        <is>
          <t>A positive amount means the student case cannot meet all liquidity requirements.</t>
        </is>
      </c>
    </row>
    <row r="17" ht="30" customHeight="1" s="74">
      <c r="A17" s="138" t="n">
        <v>11</v>
      </c>
      <c r="B17" s="79" t="inlineStr">
        <is>
          <t>Reference debt roll-forward</t>
        </is>
      </c>
      <c r="C17" s="140">
        <f>MAX(MAX('Debt Schedule'!B32:F32),-MIN('Debt Schedule'!B32:F32))</f>
        <v/>
      </c>
      <c r="D17" s="138" t="n">
        <v>0</v>
      </c>
      <c r="E17" s="132">
        <f>C17-D17</f>
        <v/>
      </c>
      <c r="F17" s="138" t="n">
        <v>0.0001</v>
      </c>
      <c r="G17" s="132">
        <f>IF(ABS(E17)&lt;=F17,"PASS","FAIL")</f>
        <v/>
      </c>
      <c r="H17" s="139" t="inlineStr">
        <is>
          <t>Beginning debt plus draws less repayments must equal ending debt.</t>
        </is>
      </c>
    </row>
    <row r="18" ht="30" customHeight="1" s="74">
      <c r="A18" s="138" t="n">
        <v>12</v>
      </c>
      <c r="B18" s="79" t="inlineStr">
        <is>
          <t>Student debt roll-forward</t>
        </is>
      </c>
      <c r="C18" s="140">
        <f>MAX(MAX('Debt Schedule'!H32:L32),-MIN('Debt Schedule'!H32:L32))</f>
        <v/>
      </c>
      <c r="D18" s="138" t="n">
        <v>0</v>
      </c>
      <c r="E18" s="132">
        <f>C18-D18</f>
        <v/>
      </c>
      <c r="F18" s="138" t="n">
        <v>0.0001</v>
      </c>
      <c r="G18" s="132">
        <f>IF(ABS(E18)&lt;=F18,"PASS","FAIL")</f>
        <v/>
      </c>
      <c r="H18" s="139" t="inlineStr">
        <is>
          <t>Beginning debt plus draws less repayments must equal ending debt.</t>
        </is>
      </c>
    </row>
    <row r="19" ht="30" customHeight="1" s="74">
      <c r="A19" s="138" t="n">
        <v>13</v>
      </c>
      <c r="B19" s="79" t="inlineStr">
        <is>
          <t>Reference exit multiple expansion</t>
        </is>
      </c>
      <c r="C19" s="140">
        <f>Assumptions!B20-Assumptions!B6</f>
        <v/>
      </c>
      <c r="D19" s="79" t="inlineStr">
        <is>
          <t>&lt;= 0 in conservative base case</t>
        </is>
      </c>
      <c r="E19" s="79" t="inlineStr">
        <is>
          <t>N/M</t>
        </is>
      </c>
      <c r="F19" s="138" t="n">
        <v>0</v>
      </c>
      <c r="G19" s="132">
        <f>IF(C19&lt;=0,"PASS","LIMITED")</f>
        <v/>
      </c>
      <c r="H19" s="139" t="inlineStr">
        <is>
          <t>An exit multiple above the entry multiple requires explicit justification.</t>
        </is>
      </c>
    </row>
    <row r="20" ht="30" customHeight="1" s="74">
      <c r="A20" s="138" t="n">
        <v>14</v>
      </c>
      <c r="B20" s="79" t="inlineStr">
        <is>
          <t>Student exit multiple expansion</t>
        </is>
      </c>
      <c r="C20" s="140">
        <f>Assumptions!C20-Assumptions!C6</f>
        <v/>
      </c>
      <c r="D20" s="79" t="inlineStr">
        <is>
          <t>&lt;= 0 in conservative base case</t>
        </is>
      </c>
      <c r="E20" s="79" t="inlineStr">
        <is>
          <t>N/M</t>
        </is>
      </c>
      <c r="F20" s="138" t="n">
        <v>0</v>
      </c>
      <c r="G20" s="132">
        <f>IF(C20&lt;=0,"PASS","LIMITED")</f>
        <v/>
      </c>
      <c r="H20" s="139" t="inlineStr">
        <is>
          <t>Explain any assumed multiple expansion.</t>
        </is>
      </c>
    </row>
    <row r="21" ht="30" customHeight="1" s="74">
      <c r="A21" s="138" t="n">
        <v>15</v>
      </c>
      <c r="B21" s="79" t="inlineStr">
        <is>
          <t>Reference exit proceeds are positive</t>
        </is>
      </c>
      <c r="C21" s="124">
        <f>Returns!B18</f>
        <v/>
      </c>
      <c r="D21" s="79" t="inlineStr">
        <is>
          <t>&gt; 0</t>
        </is>
      </c>
      <c r="E21" s="79" t="inlineStr">
        <is>
          <t>N/M</t>
        </is>
      </c>
      <c r="F21" s="138" t="n">
        <v>0</v>
      </c>
      <c r="G21" s="132">
        <f>IF(AND(ISNUMBER(C21),C21&gt;0),"PASS","LIMITED")</f>
        <v/>
      </c>
      <c r="H21" s="139" t="inlineStr">
        <is>
          <t>Nonpositive sponsor proceeds indicate a failed equity outcome.</t>
        </is>
      </c>
    </row>
    <row r="22" ht="30" customHeight="1" s="74">
      <c r="A22" s="138" t="n">
        <v>16</v>
      </c>
      <c r="B22" s="79" t="inlineStr">
        <is>
          <t>Student exit proceeds are positive</t>
        </is>
      </c>
      <c r="C22" s="124">
        <f>Returns!E18</f>
        <v/>
      </c>
      <c r="D22" s="79" t="inlineStr">
        <is>
          <t>&gt; 0</t>
        </is>
      </c>
      <c r="E22" s="79" t="inlineStr">
        <is>
          <t>N/M</t>
        </is>
      </c>
      <c r="F22" s="138" t="n">
        <v>0</v>
      </c>
      <c r="G22" s="132">
        <f>IF(AND(ISNUMBER(C22),C22&gt;0),"PASS","LIMITED")</f>
        <v/>
      </c>
      <c r="H22" s="139" t="inlineStr">
        <is>
          <t>Nonpositive student sponsor proceeds indicate a failed equity outcome.</t>
        </is>
      </c>
    </row>
    <row r="23" ht="30" customHeight="1" s="74">
      <c r="A23" s="138" t="n">
        <v>17</v>
      </c>
      <c r="B23" s="79" t="inlineStr">
        <is>
          <t>Reference MOIC identity</t>
        </is>
      </c>
      <c r="C23" s="140">
        <f>Returns!B20-(Returns!B18/Returns!B7)</f>
        <v/>
      </c>
      <c r="D23" s="138" t="n">
        <v>0</v>
      </c>
      <c r="E23" s="132">
        <f>C23-D23</f>
        <v/>
      </c>
      <c r="F23" s="138" t="n">
        <v>0.0001</v>
      </c>
      <c r="G23" s="132">
        <f>IF(ABS(E23)&lt;=F23,"PASS","FAIL")</f>
        <v/>
      </c>
      <c r="H23" s="139" t="inlineStr">
        <is>
          <t>MOIC must equal exit proceeds divided by initial sponsor equity.</t>
        </is>
      </c>
    </row>
    <row r="24" ht="30" customHeight="1" s="74">
      <c r="A24" s="138" t="n">
        <v>18</v>
      </c>
      <c r="B24" s="79" t="inlineStr">
        <is>
          <t>Student MOIC identity</t>
        </is>
      </c>
      <c r="C24" s="140">
        <f>Returns!E20-(Returns!E18/Returns!E7)</f>
        <v/>
      </c>
      <c r="D24" s="138" t="n">
        <v>0</v>
      </c>
      <c r="E24" s="132">
        <f>C24-D24</f>
        <v/>
      </c>
      <c r="F24" s="138" t="n">
        <v>0.0001</v>
      </c>
      <c r="G24" s="132">
        <f>IF(ABS(E24)&lt;=F24,"PASS","FAIL")</f>
        <v/>
      </c>
      <c r="H24" s="139" t="inlineStr">
        <is>
          <t>Student MOIC must equal exit proceeds divided by initial sponsor equity.</t>
        </is>
      </c>
    </row>
    <row r="25" ht="30" customHeight="1" s="74">
      <c r="A25" s="138" t="n">
        <v>19</v>
      </c>
      <c r="B25" s="79" t="inlineStr">
        <is>
          <t>Reference IRR identity</t>
        </is>
      </c>
      <c r="C25" s="140">
        <f>Returns!B21-((Returns!B20)^(1/Returns!B8)-1)</f>
        <v/>
      </c>
      <c r="D25" s="138" t="n">
        <v>0</v>
      </c>
      <c r="E25" s="132">
        <f>C25-D25</f>
        <v/>
      </c>
      <c r="F25" s="138" t="n">
        <v>0.0001</v>
      </c>
      <c r="G25" s="132">
        <f>IF(ABS(E25)&lt;=F25,"PASS","FAIL")</f>
        <v/>
      </c>
      <c r="H25" s="139" t="inlineStr">
        <is>
          <t>IRR must be the annualized MOIC over the holding period.</t>
        </is>
      </c>
    </row>
    <row r="26" ht="30" customHeight="1" s="74">
      <c r="A26" s="138" t="n">
        <v>20</v>
      </c>
      <c r="B26" s="79" t="inlineStr">
        <is>
          <t>Student IRR identity</t>
        </is>
      </c>
      <c r="C26" s="140">
        <f>Returns!E21-((Returns!E20)^(1/Returns!E8)-1)</f>
        <v/>
      </c>
      <c r="D26" s="138" t="n">
        <v>0</v>
      </c>
      <c r="E26" s="132">
        <f>C26-D26</f>
        <v/>
      </c>
      <c r="F26" s="138" t="n">
        <v>0.0001</v>
      </c>
      <c r="G26" s="132">
        <f>IF(ABS(E26)&lt;=F26,"PASS","FAIL")</f>
        <v/>
      </c>
      <c r="H26" s="139" t="inlineStr">
        <is>
          <t>Student IRR must be the annualized MOIC over the holding period.</t>
        </is>
      </c>
    </row>
    <row r="27" ht="30" customHeight="1" s="74">
      <c r="A27" s="138" t="n">
        <v>21</v>
      </c>
      <c r="B27" s="79" t="inlineStr">
        <is>
          <t>Reference target IRR</t>
        </is>
      </c>
      <c r="C27" s="140">
        <f>Returns!B21-Returns!B22</f>
        <v/>
      </c>
      <c r="D27" s="79" t="inlineStr">
        <is>
          <t>&gt;= 0</t>
        </is>
      </c>
      <c r="E27" s="79" t="inlineStr">
        <is>
          <t>N/M</t>
        </is>
      </c>
      <c r="F27" s="138" t="n">
        <v>0</v>
      </c>
      <c r="G27" s="132">
        <f>IF(C27&gt;=0,"MEETS TARGET","BELOW TARGET")</f>
        <v/>
      </c>
      <c r="H27" s="139" t="inlineStr">
        <is>
          <t>A return below target is an investment conclusion, not a calculation failure.</t>
        </is>
      </c>
    </row>
    <row r="28" ht="30" customHeight="1" s="74">
      <c r="A28" s="138" t="n">
        <v>22</v>
      </c>
      <c r="B28" s="79" t="inlineStr">
        <is>
          <t>Student target IRR</t>
        </is>
      </c>
      <c r="C28" s="140">
        <f>Returns!E21-Returns!E22</f>
        <v/>
      </c>
      <c r="D28" s="79" t="inlineStr">
        <is>
          <t>&gt;= 0</t>
        </is>
      </c>
      <c r="E28" s="79" t="inlineStr">
        <is>
          <t>N/M</t>
        </is>
      </c>
      <c r="F28" s="138" t="n">
        <v>0</v>
      </c>
      <c r="G28" s="132">
        <f>IF(C28&gt;=0,"MEETS TARGET","BELOW TARGET")</f>
        <v/>
      </c>
      <c r="H28" s="139" t="inlineStr">
        <is>
          <t>A student return below target should be explained in the conclusion.</t>
        </is>
      </c>
    </row>
    <row r="29" ht="30" customHeight="1" s="74">
      <c r="A29" s="138" t="n">
        <v>23</v>
      </c>
      <c r="B29" s="79" t="inlineStr">
        <is>
          <t>Reference and default student IRR</t>
        </is>
      </c>
      <c r="C29" s="140">
        <f>Valuation!C6-Valuation!B6</f>
        <v/>
      </c>
      <c r="D29" s="138" t="n">
        <v>0</v>
      </c>
      <c r="E29" s="132">
        <f>C29-D29</f>
        <v/>
      </c>
      <c r="F29" s="138" t="n">
        <v>0.0001</v>
      </c>
      <c r="G29" s="132">
        <f>IF(ABS(E29)&lt;=F29,"PASS","LIMITED")</f>
        <v/>
      </c>
      <c r="H29" s="139" t="inlineStr">
        <is>
          <t>The untouched student template should reproduce reference IRR.</t>
        </is>
      </c>
    </row>
    <row r="30" ht="30" customHeight="1" s="74">
      <c r="A30" s="138" t="n">
        <v>24</v>
      </c>
      <c r="B30" s="79" t="inlineStr">
        <is>
          <t>Reference and default student MOIC</t>
        </is>
      </c>
      <c r="C30" s="140">
        <f>Valuation!C7-Valuation!B7</f>
        <v/>
      </c>
      <c r="D30" s="138" t="n">
        <v>0</v>
      </c>
      <c r="E30" s="132">
        <f>C30-D30</f>
        <v/>
      </c>
      <c r="F30" s="138" t="n">
        <v>0.0001</v>
      </c>
      <c r="G30" s="132">
        <f>IF(ABS(E30)&lt;=F30,"PASS","LIMITED")</f>
        <v/>
      </c>
      <c r="H30" s="139" t="inlineStr">
        <is>
          <t>The untouched student template should reproduce reference MOIC.</t>
        </is>
      </c>
    </row>
    <row r="31" ht="30" customHeight="1" s="74">
      <c r="A31" s="138" t="n">
        <v>25</v>
      </c>
      <c r="B31" s="79" t="inlineStr">
        <is>
          <t>Source trail present</t>
        </is>
      </c>
      <c r="C31" s="140">
        <f>COUNTA(Sources!A5:A500)</f>
        <v/>
      </c>
      <c r="D31" s="79" t="inlineStr">
        <is>
          <t>&gt;= 1</t>
        </is>
      </c>
      <c r="E31" s="79" t="inlineStr">
        <is>
          <t>N/M</t>
        </is>
      </c>
      <c r="F31" s="138" t="n">
        <v>0</v>
      </c>
      <c r="G31" s="132">
        <f>IF(C31&gt;=1,"PASS","LIMITED")</f>
        <v/>
      </c>
      <c r="H31" s="139" t="inlineStr">
        <is>
          <t>Add dated source URLs for company facts and identify financing terms as reference assumptions.</t>
        </is>
      </c>
    </row>
    <row r="32" ht="30" customHeight="1" s="74">
      <c r="A32" s="138" t="n">
        <v>26</v>
      </c>
      <c r="B32" s="79" t="inlineStr">
        <is>
          <t>Historical periods available</t>
        </is>
      </c>
      <c r="C32" s="138" t="n">
        <v>5</v>
      </c>
      <c r="D32" s="79" t="inlineStr">
        <is>
          <t>&gt;= 3</t>
        </is>
      </c>
      <c r="E32" s="79" t="inlineStr">
        <is>
          <t>N/M</t>
        </is>
      </c>
      <c r="F32" s="138" t="n">
        <v>0</v>
      </c>
      <c r="G32" s="132">
        <f>IF(C32&gt;=3,"PASS","LIMITED")</f>
        <v/>
      </c>
      <c r="H32" s="139" t="inlineStr">
        <is>
          <t>At least three reported historical periods are required for a fully ready operating forecast.</t>
        </is>
      </c>
    </row>
  </sheetData>
  <mergeCells count="2">
    <mergeCell ref="A2:H2"/>
    <mergeCell ref="A1:H1"/>
  </mergeCells>
  <conditionalFormatting sqref="G7:G32">
    <cfRule type="expression" rank="0" priority="2" equalAverage="0" aboveAverage="0" dxfId="0" text="" percent="0" bottom="0">
      <formula>EXACT(G7,"PASS")</formula>
    </cfRule>
    <cfRule type="expression" rank="0" priority="3" equalAverage="0" aboveAverage="0" dxfId="0" text="" percent="0" bottom="0">
      <formula>EXACT(G7,"MEETS TARGET")</formula>
    </cfRule>
    <cfRule type="expression" rank="0" priority="4" equalAverage="0" aboveAverage="0" dxfId="1" text="" percent="0" bottom="0">
      <formula>EXACT(G7,"LIMITED")</formula>
    </cfRule>
    <cfRule type="expression" rank="0" priority="5" equalAverage="0" aboveAverage="0" dxfId="1" text="" percent="0" bottom="0">
      <formula>EXACT(G7,"BELOW TARGET")</formula>
    </cfRule>
    <cfRule type="expression" rank="0" priority="6" equalAverage="0" aboveAverage="0" dxfId="2" text="" percent="0" bottom="0">
      <formula>EXACT(G7,"FAIL")</formula>
    </cfRule>
  </conditionalFormatting>
  <conditionalFormatting sqref="B4">
    <cfRule type="expression" rank="0" priority="7" equalAverage="0" aboveAverage="0" dxfId="0" text="" percent="0" bottom="0">
      <formula>EXACT(B4,"PASS")</formula>
    </cfRule>
    <cfRule type="expression" rank="0" priority="8" equalAverage="0" aboveAverage="0" dxfId="0" text="" percent="0" bottom="0">
      <formula>EXACT(B4,"MEETS TARGET")</formula>
    </cfRule>
    <cfRule type="expression" rank="0" priority="9" equalAverage="0" aboveAverage="0" dxfId="1" text="" percent="0" bottom="0">
      <formula>EXACT(B4,"LIMITED")</formula>
    </cfRule>
    <cfRule type="expression" rank="0" priority="10" equalAverage="0" aboveAverage="0" dxfId="1" text="" percent="0" bottom="0">
      <formula>EXACT(B4,"BELOW TARGET")</formula>
    </cfRule>
    <cfRule type="expression" rank="0" priority="11" equalAverage="0" aboveAverage="0" dxfId="2" text="" percent="0" bottom="0">
      <formula>EXACT(B4,"FAIL")</formula>
    </cfRule>
  </conditionalFormatting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 filterMode="0">
    <tabColor rgb="FF70AD47"/>
    <outlinePr summaryBelow="1" summaryRight="1"/>
    <pageSetUpPr fitToPage="1"/>
  </sheetPr>
  <dimension ref="A1:H18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4" customWidth="1" style="73" min="1" max="1"/>
    <col width="25" customWidth="1" style="73" min="2" max="2"/>
    <col width="28" customWidth="1" style="73" min="3" max="3"/>
    <col width="15" customWidth="1" style="73" min="4" max="4"/>
    <col width="22" customWidth="1" style="73" min="5" max="5"/>
    <col width="55" customWidth="1" style="73" min="6" max="6"/>
    <col width="15" customWidth="1" style="73" min="7" max="7"/>
    <col width="52" customWidth="1" style="73" min="8" max="8"/>
  </cols>
  <sheetData>
    <row r="1" ht="27" customHeight="1" s="74">
      <c r="A1" s="75" t="inlineStr">
        <is>
          <t>Sources and Audit Trail</t>
        </is>
      </c>
    </row>
    <row r="2" ht="25.5" customHeight="1" s="74">
      <c r="A2" s="76" t="inlineStr">
        <is>
          <t>Plain-text URLs, periods, and notes supporting downloaded data and code-generated assumptions.</t>
        </is>
      </c>
    </row>
    <row r="3"/>
    <row r="4" ht="28.5" customHeight="1" s="74">
      <c r="A4" s="86" t="inlineStr">
        <is>
          <t>Source ID</t>
        </is>
      </c>
      <c r="B4" s="86" t="inlineStr">
        <is>
          <t>Item / Field</t>
        </is>
      </c>
      <c r="C4" s="86" t="inlineStr">
        <is>
          <t>Value / Definition</t>
        </is>
      </c>
      <c r="D4" s="86" t="inlineStr">
        <is>
          <t>Period / As of</t>
        </is>
      </c>
      <c r="E4" s="86" t="inlineStr">
        <is>
          <t>Source</t>
        </is>
      </c>
      <c r="F4" s="86" t="inlineStr">
        <is>
          <t>URL</t>
        </is>
      </c>
      <c r="G4" s="86" t="inlineStr">
        <is>
          <t>Accessed</t>
        </is>
      </c>
      <c r="H4" s="86" t="inlineStr">
        <is>
          <t>Notes</t>
        </is>
      </c>
    </row>
    <row r="5" ht="74.59999999999999" customHeight="1" s="74">
      <c r="A5" s="141" t="inlineStr">
        <is>
          <t>SRC-MARKET</t>
        </is>
      </c>
      <c r="B5" s="142" t="inlineStr">
        <is>
          <t>Target valuation-date equity bridge and market data</t>
        </is>
      </c>
      <c r="C5" s="142" t="inlineStr">
        <is>
          <t>N/M</t>
        </is>
      </c>
      <c r="D5" s="141" t="inlineStr">
        <is>
          <t>2017-06-15</t>
        </is>
      </c>
      <c r="E5" s="142" t="inlineStr">
        <is>
          <t>Packaged FIN 4004 point-in-time teaching case</t>
        </is>
      </c>
      <c r="F5" s="143" t="inlineStr">
        <is>
          <t>https://data.sec.gov/api/xbrl/companyfacts/CIK0000865436.json</t>
        </is>
      </c>
      <c r="G5" s="144" t="n">
        <v>42901</v>
      </c>
      <c r="H5" s="142" t="inlineStr">
        <is>
          <t>The debt and cash split preserves the packaged $635 million net-debt bridge and is a transparent teaching input for the hypothetical LBO.; SEC debt and cash bridge reference: 10-Q teaching bridge balance sheet ended 2017-04-09 and filed 2017-05-10; provider-supplied bridge fields take priority when present.; Market-data URL: https://data.sec.gov/api/xbrl/companyfacts/CIK0000865436.json; Balance-sheet period: 2017-04-09; Balance-sheet filed: 2017-05-10</t>
        </is>
      </c>
    </row>
    <row r="6" ht="22.35" customHeight="1" s="74">
      <c r="A6" s="141" t="inlineStr">
        <is>
          <t>SRC-HIST-01</t>
        </is>
      </c>
      <c r="B6" s="142" t="inlineStr">
        <is>
          <t>Target reported historical financials: FY2012</t>
        </is>
      </c>
      <c r="C6" s="142" t="inlineStr">
        <is>
          <t>N/M</t>
        </is>
      </c>
      <c r="D6" s="141" t="inlineStr">
        <is>
          <t>2012-09-30</t>
        </is>
      </c>
      <c r="E6" s="142" t="inlineStr">
        <is>
          <t>SEC EDGAR Company Facts</t>
        </is>
      </c>
      <c r="F6" s="143" t="inlineStr">
        <is>
          <t>https://data.sec.gov/api/xbrl/companyfacts/CIK0000865436.json</t>
        </is>
      </c>
      <c r="G6" s="144" t="n">
        <v>42901</v>
      </c>
      <c r="H6" s="142" t="inlineStr">
        <is>
          <t>Filed: 2012-11-21; Form: 10-K</t>
        </is>
      </c>
    </row>
    <row r="7" ht="22.35" customHeight="1" s="74">
      <c r="A7" s="141" t="inlineStr">
        <is>
          <t>SRC-HIST-02</t>
        </is>
      </c>
      <c r="B7" s="142" t="inlineStr">
        <is>
          <t>Target reported historical financials: FY2013</t>
        </is>
      </c>
      <c r="C7" s="142" t="inlineStr">
        <is>
          <t>N/M</t>
        </is>
      </c>
      <c r="D7" s="141" t="inlineStr">
        <is>
          <t>2013-09-29</t>
        </is>
      </c>
      <c r="E7" s="142" t="inlineStr">
        <is>
          <t>SEC EDGAR Company Facts</t>
        </is>
      </c>
      <c r="F7" s="143" t="inlineStr">
        <is>
          <t>https://data.sec.gov/api/xbrl/companyfacts/CIK0000865436.json</t>
        </is>
      </c>
      <c r="G7" s="144" t="n">
        <v>42901</v>
      </c>
      <c r="H7" s="142" t="inlineStr">
        <is>
          <t>Filed: 2013-11-27; Form: 10-K</t>
        </is>
      </c>
    </row>
    <row r="8" ht="22.35" customHeight="1" s="74">
      <c r="A8" s="141" t="inlineStr">
        <is>
          <t>SRC-HIST-03</t>
        </is>
      </c>
      <c r="B8" s="142" t="inlineStr">
        <is>
          <t>Target reported historical financials: FY2014</t>
        </is>
      </c>
      <c r="C8" s="142" t="inlineStr">
        <is>
          <t>N/M</t>
        </is>
      </c>
      <c r="D8" s="141" t="inlineStr">
        <is>
          <t>2014-09-28</t>
        </is>
      </c>
      <c r="E8" s="142" t="inlineStr">
        <is>
          <t>SEC EDGAR Company Facts</t>
        </is>
      </c>
      <c r="F8" s="143" t="inlineStr">
        <is>
          <t>https://data.sec.gov/api/xbrl/companyfacts/CIK0000865436.json</t>
        </is>
      </c>
      <c r="G8" s="144" t="n">
        <v>42901</v>
      </c>
      <c r="H8" s="142" t="inlineStr">
        <is>
          <t>Filed: 2014-11-26; Form: 10-K</t>
        </is>
      </c>
    </row>
    <row r="9" ht="22.35" customHeight="1" s="74">
      <c r="A9" s="141" t="inlineStr">
        <is>
          <t>SRC-HIST-04</t>
        </is>
      </c>
      <c r="B9" s="142" t="inlineStr">
        <is>
          <t>Target reported historical financials: FY2015</t>
        </is>
      </c>
      <c r="C9" s="142" t="inlineStr">
        <is>
          <t>N/M</t>
        </is>
      </c>
      <c r="D9" s="141" t="inlineStr">
        <is>
          <t>2015-09-27</t>
        </is>
      </c>
      <c r="E9" s="142" t="inlineStr">
        <is>
          <t>SEC EDGAR Company Facts</t>
        </is>
      </c>
      <c r="F9" s="143" t="inlineStr">
        <is>
          <t>https://data.sec.gov/api/xbrl/companyfacts/CIK0000865436.json</t>
        </is>
      </c>
      <c r="G9" s="144" t="n">
        <v>42901</v>
      </c>
      <c r="H9" s="142" t="inlineStr">
        <is>
          <t>Filed: 2015-11-25; Form: 10-K</t>
        </is>
      </c>
    </row>
    <row r="10" ht="22.35" customHeight="1" s="74">
      <c r="A10" s="141" t="inlineStr">
        <is>
          <t>SRC-HIST-05</t>
        </is>
      </c>
      <c r="B10" s="142" t="inlineStr">
        <is>
          <t>Target reported historical financials: FY2016</t>
        </is>
      </c>
      <c r="C10" s="142" t="inlineStr">
        <is>
          <t>N/M</t>
        </is>
      </c>
      <c r="D10" s="141" t="inlineStr">
        <is>
          <t>2016-09-25</t>
        </is>
      </c>
      <c r="E10" s="142" t="inlineStr">
        <is>
          <t>SEC EDGAR Company Facts</t>
        </is>
      </c>
      <c r="F10" s="143" t="inlineStr">
        <is>
          <t>https://data.sec.gov/api/xbrl/companyfacts/CIK0000865436.json</t>
        </is>
      </c>
      <c r="G10" s="144" t="n">
        <v>42901</v>
      </c>
      <c r="H10" s="142" t="inlineStr">
        <is>
          <t>Filed: 2016-11-23; Form: 10-K</t>
        </is>
      </c>
    </row>
    <row r="11" ht="95.5" customHeight="1" s="74">
      <c r="A11" s="141" t="inlineStr">
        <is>
          <t>SRC-EST-01</t>
        </is>
      </c>
      <c r="B11" s="142" t="inlineStr">
        <is>
          <t>Target forecast estimate: FY2017</t>
        </is>
      </c>
      <c r="C11" s="142" t="inlineStr">
        <is>
          <t>N/M</t>
        </is>
      </c>
      <c r="D11" s="141" t="inlineStr">
        <is>
          <t>2017-06-15</t>
        </is>
      </c>
      <c r="E11" s="142" t="inlineStr">
        <is>
          <t>Transparent historical-ratio forecast</t>
        </is>
      </c>
      <c r="F11" s="143" t="inlineStr">
        <is>
          <t>https://data.sec.gov/api/xbrl/companyfacts/CIK0000865436.json</t>
        </is>
      </c>
      <c r="G11" s="144" t="n">
        <v>42901</v>
      </c>
      <c r="H11" s="142" t="inlineStr">
        <is>
          <t>Provenance: model; revenue: model; revenue_growth: model; ebitda: model; ebit: model; depreciation_amortization: model; tax_rate: model; capital_expenditures: model; operating_working_capital: model; change_in_working_capital: model; unlevered_free_cash_flow: model; Model estimate, not analyst consensus.; Revenue growth fades toward the editable long-term rate; margins and reinvestment use recent historical ratios unless overridden.; Model estimates are transparent historical-data fallbacks, not consensus.</t>
        </is>
      </c>
    </row>
    <row r="12" ht="95.5" customHeight="1" s="74">
      <c r="A12" s="141" t="inlineStr">
        <is>
          <t>SRC-EST-02</t>
        </is>
      </c>
      <c r="B12" s="142" t="inlineStr">
        <is>
          <t>Target forecast estimate: FY2018</t>
        </is>
      </c>
      <c r="C12" s="142" t="inlineStr">
        <is>
          <t>N/M</t>
        </is>
      </c>
      <c r="D12" s="141" t="inlineStr">
        <is>
          <t>2017-06-15</t>
        </is>
      </c>
      <c r="E12" s="142" t="inlineStr">
        <is>
          <t>Transparent historical-ratio forecast</t>
        </is>
      </c>
      <c r="F12" s="143" t="inlineStr">
        <is>
          <t>https://data.sec.gov/api/xbrl/companyfacts/CIK0000865436.json</t>
        </is>
      </c>
      <c r="G12" s="144" t="n">
        <v>42901</v>
      </c>
      <c r="H12" s="142" t="inlineStr">
        <is>
          <t>Provenance: model; revenue: model; revenue_growth: model; ebitda: model; ebit: model; depreciation_amortization: model; tax_rate: model; capital_expenditures: model; operating_working_capital: model; change_in_working_capital: model; unlevered_free_cash_flow: model; Model estimate, not analyst consensus.; Revenue growth fades toward the editable long-term rate; margins and reinvestment use recent historical ratios unless overridden.; Model estimates are transparent historical-data fallbacks, not consensus.</t>
        </is>
      </c>
    </row>
    <row r="13" ht="95.5" customHeight="1" s="74">
      <c r="A13" s="141" t="inlineStr">
        <is>
          <t>SRC-EST-03</t>
        </is>
      </c>
      <c r="B13" s="142" t="inlineStr">
        <is>
          <t>Target forecast estimate: FY2019</t>
        </is>
      </c>
      <c r="C13" s="142" t="inlineStr">
        <is>
          <t>N/M</t>
        </is>
      </c>
      <c r="D13" s="141" t="inlineStr">
        <is>
          <t>2017-06-15</t>
        </is>
      </c>
      <c r="E13" s="142" t="inlineStr">
        <is>
          <t>Transparent historical-ratio forecast</t>
        </is>
      </c>
      <c r="F13" s="143" t="inlineStr">
        <is>
          <t>https://data.sec.gov/api/xbrl/companyfacts/CIK0000865436.json</t>
        </is>
      </c>
      <c r="G13" s="144" t="n">
        <v>42901</v>
      </c>
      <c r="H13" s="142" t="inlineStr">
        <is>
          <t>Provenance: model; revenue: model; revenue_growth: model; ebitda: model; ebit: model; depreciation_amortization: model; tax_rate: model; capital_expenditures: model; operating_working_capital: model; change_in_working_capital: model; unlevered_free_cash_flow: model; Model estimate, not analyst consensus.; Revenue growth fades toward the editable long-term rate; margins and reinvestment use recent historical ratios unless overridden.; Model estimates are transparent historical-data fallbacks, not consensus.</t>
        </is>
      </c>
    </row>
    <row r="14" ht="95.5" customHeight="1" s="74">
      <c r="A14" s="141" t="inlineStr">
        <is>
          <t>SRC-EST-04</t>
        </is>
      </c>
      <c r="B14" s="142" t="inlineStr">
        <is>
          <t>Target forecast estimate: FY2020</t>
        </is>
      </c>
      <c r="C14" s="142" t="inlineStr">
        <is>
          <t>N/M</t>
        </is>
      </c>
      <c r="D14" s="141" t="inlineStr">
        <is>
          <t>2017-06-15</t>
        </is>
      </c>
      <c r="E14" s="142" t="inlineStr">
        <is>
          <t>Transparent historical-ratio forecast</t>
        </is>
      </c>
      <c r="F14" s="143" t="inlineStr">
        <is>
          <t>https://data.sec.gov/api/xbrl/companyfacts/CIK0000865436.json</t>
        </is>
      </c>
      <c r="G14" s="144" t="n">
        <v>42901</v>
      </c>
      <c r="H14" s="142" t="inlineStr">
        <is>
          <t>Provenance: model; revenue: model; revenue_growth: model; ebitda: model; ebit: model; depreciation_amortization: model; tax_rate: model; capital_expenditures: model; operating_working_capital: model; change_in_working_capital: model; unlevered_free_cash_flow: model; Model estimate, not analyst consensus.; Revenue growth fades toward the editable long-term rate; margins and reinvestment use recent historical ratios unless overridden.; Model estimates are transparent historical-data fallbacks, not consensus.</t>
        </is>
      </c>
    </row>
    <row r="15" ht="95.5" customHeight="1" s="74">
      <c r="A15" s="141" t="inlineStr">
        <is>
          <t>SRC-EST-05</t>
        </is>
      </c>
      <c r="B15" s="142" t="inlineStr">
        <is>
          <t>Target forecast estimate: FY2021</t>
        </is>
      </c>
      <c r="C15" s="142" t="inlineStr">
        <is>
          <t>N/M</t>
        </is>
      </c>
      <c r="D15" s="141" t="inlineStr">
        <is>
          <t>2017-06-15</t>
        </is>
      </c>
      <c r="E15" s="142" t="inlineStr">
        <is>
          <t>Transparent historical-ratio forecast</t>
        </is>
      </c>
      <c r="F15" s="143" t="inlineStr">
        <is>
          <t>https://data.sec.gov/api/xbrl/companyfacts/CIK0000865436.json</t>
        </is>
      </c>
      <c r="G15" s="144" t="n">
        <v>42901</v>
      </c>
      <c r="H15" s="142" t="inlineStr">
        <is>
          <t>Provenance: model; revenue: model; revenue_growth: model; ebitda: model; ebit: model; depreciation_amortization: model; tax_rate: model; capital_expenditures: model; operating_working_capital: model; change_in_working_capital: model; unlevered_free_cash_flow: model; Model estimate, not analyst consensus.; Revenue growth fades toward the editable long-term rate; margins and reinvestment use recent historical ratios unless overridden.; Model estimates are transparent historical-data fallbacks, not consensus.</t>
        </is>
      </c>
    </row>
    <row r="16" ht="32.8" customHeight="1" s="74">
      <c r="A16" s="141" t="inlineStr">
        <is>
          <t>SRC-LBO-ASSUMPTIONS</t>
        </is>
      </c>
      <c r="B16" s="142" t="inlineStr">
        <is>
          <t>Hypothetical LBO transaction, financing, holding-period, and exit assumptions</t>
        </is>
      </c>
      <c r="C16" s="142" t="inlineStr">
        <is>
          <t>N/M</t>
        </is>
      </c>
      <c r="D16" s="141" t="inlineStr">
        <is>
          <t>2017-06-15</t>
        </is>
      </c>
      <c r="E16" s="142" t="inlineStr">
        <is>
          <t>Professor-approved teaching assumptions</t>
        </is>
      </c>
      <c r="F16" s="142" t="inlineStr">
        <is>
          <t>N/M</t>
        </is>
      </c>
      <c r="G16" s="144" t="n">
        <v>42901</v>
      </c>
      <c r="H16" s="142" t="inlineStr">
        <is>
          <t>These assumptions are not SEC-reported company facts. They define a hypothetical private-equity transaction for teaching sponsor returns and maximum purchase price.</t>
        </is>
      </c>
    </row>
    <row r="17" ht="15" customHeight="1" s="74">
      <c r="A17" s="141" t="inlineStr">
        <is>
          <t>SRC-SUBMISSIONS</t>
        </is>
      </c>
      <c r="B17" s="142" t="inlineStr">
        <is>
          <t>SEC submissions</t>
        </is>
      </c>
      <c r="C17" s="142" t="inlineStr">
        <is>
          <t>N/M</t>
        </is>
      </c>
      <c r="D17" s="141" t="inlineStr">
        <is>
          <t>N/M</t>
        </is>
      </c>
      <c r="E17" s="142" t="inlineStr">
        <is>
          <t>SEC EDGAR</t>
        </is>
      </c>
      <c r="F17" s="143" t="inlineStr">
        <is>
          <t>https://data.sec.gov/submissions/CIK0000865436.json</t>
        </is>
      </c>
      <c r="G17" s="144" t="n">
        <v>42901</v>
      </c>
      <c r="H17" s="142" t="inlineStr">
        <is>
          <t>N/M</t>
        </is>
      </c>
    </row>
    <row r="18" ht="15" customHeight="1" s="74">
      <c r="A18" s="141" t="inlineStr">
        <is>
          <t>SRC-COMPANYFACTS</t>
        </is>
      </c>
      <c r="B18" s="142" t="inlineStr">
        <is>
          <t>SEC Company Facts</t>
        </is>
      </c>
      <c r="C18" s="142" t="inlineStr">
        <is>
          <t>N/M</t>
        </is>
      </c>
      <c r="D18" s="141" t="inlineStr">
        <is>
          <t>N/M</t>
        </is>
      </c>
      <c r="E18" s="142" t="inlineStr">
        <is>
          <t>SEC EDGAR</t>
        </is>
      </c>
      <c r="F18" s="143" t="inlineStr">
        <is>
          <t>https://data.sec.gov/api/xbrl/companyfacts/CIK0000865436.json</t>
        </is>
      </c>
      <c r="G18" s="144" t="n">
        <v>42901</v>
      </c>
      <c r="H18" s="142" t="inlineStr">
        <is>
          <t>N/M</t>
        </is>
      </c>
    </row>
  </sheetData>
  <autoFilter ref="A4:H18"/>
  <mergeCells count="2">
    <mergeCell ref="A2:H2"/>
    <mergeCell ref="A1:H1"/>
  </mergeCells>
  <hyperlinks>
    <hyperlink xmlns:r="http://schemas.openxmlformats.org/officeDocument/2006/relationships" ref="F5" display="https://data.sec.gov/api/xbrl/companyfacts/CIK0000865436.json" r:id="rId1"/>
    <hyperlink xmlns:r="http://schemas.openxmlformats.org/officeDocument/2006/relationships" ref="F6" display="https://data.sec.gov/api/xbrl/companyfacts/CIK0000865436.json" r:id="rId2"/>
    <hyperlink xmlns:r="http://schemas.openxmlformats.org/officeDocument/2006/relationships" ref="F7" display="https://data.sec.gov/api/xbrl/companyfacts/CIK0000865436.json" r:id="rId3"/>
    <hyperlink xmlns:r="http://schemas.openxmlformats.org/officeDocument/2006/relationships" ref="F8" display="https://data.sec.gov/api/xbrl/companyfacts/CIK0000865436.json" r:id="rId4"/>
    <hyperlink xmlns:r="http://schemas.openxmlformats.org/officeDocument/2006/relationships" ref="F9" display="https://data.sec.gov/api/xbrl/companyfacts/CIK0000865436.json" r:id="rId5"/>
    <hyperlink xmlns:r="http://schemas.openxmlformats.org/officeDocument/2006/relationships" ref="F10" display="https://data.sec.gov/api/xbrl/companyfacts/CIK0000865436.json" r:id="rId6"/>
    <hyperlink xmlns:r="http://schemas.openxmlformats.org/officeDocument/2006/relationships" ref="F11" display="https://data.sec.gov/api/xbrl/companyfacts/CIK0000865436.json" r:id="rId7"/>
    <hyperlink xmlns:r="http://schemas.openxmlformats.org/officeDocument/2006/relationships" ref="F12" display="https://data.sec.gov/api/xbrl/companyfacts/CIK0000865436.json" r:id="rId8"/>
    <hyperlink xmlns:r="http://schemas.openxmlformats.org/officeDocument/2006/relationships" ref="F13" display="https://data.sec.gov/api/xbrl/companyfacts/CIK0000865436.json" r:id="rId9"/>
    <hyperlink xmlns:r="http://schemas.openxmlformats.org/officeDocument/2006/relationships" ref="F14" display="https://data.sec.gov/api/xbrl/companyfacts/CIK0000865436.json" r:id="rId10"/>
    <hyperlink xmlns:r="http://schemas.openxmlformats.org/officeDocument/2006/relationships" ref="F15" display="https://data.sec.gov/api/xbrl/companyfacts/CIK0000865436.json" r:id="rId11"/>
    <hyperlink xmlns:r="http://schemas.openxmlformats.org/officeDocument/2006/relationships" ref="F17" display="https://data.sec.gov/submissions/CIK0000865436.json" r:id="rId12"/>
    <hyperlink xmlns:r="http://schemas.openxmlformats.org/officeDocument/2006/relationships" ref="F18" display="https://data.sec.gov/api/xbrl/companyfacts/CIK0000865436.json" r:id="rId13"/>
  </hyperlink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filterMode="0">
    <tabColor rgb="FF5B9BD5"/>
    <outlinePr summaryBelow="1" summaryRight="1"/>
    <pageSetUpPr fitToPage="1"/>
  </sheetPr>
  <dimension ref="A1:G16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9" customWidth="1" style="73" min="1" max="1"/>
    <col width="37" customWidth="1" style="73" min="2" max="2"/>
    <col width="25" customWidth="1" style="73" min="3" max="3"/>
    <col width="45" customWidth="1" style="73" min="4" max="4"/>
    <col width="47" customWidth="1" style="73" min="5" max="5"/>
    <col width="24" customWidth="1" style="73" min="6" max="6"/>
    <col width="30" customWidth="1" style="73" min="7" max="7"/>
  </cols>
  <sheetData>
    <row r="1" ht="27" customHeight="1" s="74">
      <c r="A1" s="75" t="inlineStr">
        <is>
          <t>Chapter 4: Leveraged Buyout Returns — Five-Step Valuation Exercise</t>
        </is>
      </c>
    </row>
    <row r="2" ht="25.5" customHeight="1" s="74">
      <c r="A2" s="76" t="inlineStr">
        <is>
          <t>Open AI Valuation for the fully populated Step I–V answer key. The student case initially reproduces the reference calculation; change only blue cells.</t>
        </is>
      </c>
    </row>
    <row r="3"/>
    <row r="4" ht="28.5" customHeight="1" s="74">
      <c r="A4" s="86" t="inlineStr">
        <is>
          <t>Step</t>
        </is>
      </c>
      <c r="B4" s="86" t="inlineStr">
        <is>
          <t>Required Chapter Step</t>
        </is>
      </c>
      <c r="C4" s="86" t="inlineStr">
        <is>
          <t>AI Valuation (Completed Analyst Calculation)</t>
        </is>
      </c>
      <c r="D4" s="86" t="inlineStr">
        <is>
          <t>AI Method / Calculation</t>
        </is>
      </c>
      <c r="E4" s="86" t="inlineStr">
        <is>
          <t>Student Template — What to Do</t>
        </is>
      </c>
      <c r="F4" s="86" t="inlineStr">
        <is>
          <t>Student Template Result</t>
        </is>
      </c>
      <c r="G4" s="86" t="inlineStr">
        <is>
          <t>Workbook Location / Check</t>
        </is>
      </c>
    </row>
    <row r="5" ht="75.75" customHeight="1" s="74">
      <c r="A5" s="102" t="inlineStr">
        <is>
          <t>Step I</t>
        </is>
      </c>
      <c r="B5" s="103" t="inlineStr">
        <is>
          <t>Define the Transaction and Build Sources &amp; Uses</t>
        </is>
      </c>
      <c r="C5" s="104">
        <f>'Sources &amp; Uses'!B22</f>
        <v/>
      </c>
      <c r="D5" s="103" t="inlineStr">
        <is>
          <t>Calculated purchase enterprise value, equity purchase price, fees, debt financing, target cash, and sponsor equity; total sources must equal total uses.</t>
        </is>
      </c>
      <c r="E5" s="103" t="inlineStr">
        <is>
          <t>Review the blue transaction and financing assumptions, then confirm that student sources equal uses.</t>
        </is>
      </c>
      <c r="F5" s="104">
        <f>'Sources &amp; Uses'!E22</f>
        <v/>
      </c>
      <c r="G5" s="103" t="inlineStr">
        <is>
          <t>Assumptions; Sources &amp; Uses; Checks</t>
        </is>
      </c>
    </row>
    <row r="6" ht="75.75" customHeight="1" s="74">
      <c r="A6" s="102" t="inlineStr">
        <is>
          <t>Step II</t>
        </is>
      </c>
      <c r="B6" s="103" t="inlineStr">
        <is>
          <t>Forecast Operations and Cash Available for Debt Repayment</t>
        </is>
      </c>
      <c r="C6" s="104">
        <f>COUNT('Operating Forecast'!B15:F15)&amp;" AI forecast periods"</f>
        <v/>
      </c>
      <c r="D6" s="103" t="inlineStr">
        <is>
          <t>Projected revenue, EBITDA, D&amp;A, EBIT, capital expenditures, working-capital investment, and pre-interest cash flow using annual drivers.</t>
        </is>
      </c>
      <c r="E6" s="103" t="inlineStr">
        <is>
          <t>Change the blue annual operating drivers and explain how the changes affect cash available for debt repayment.</t>
        </is>
      </c>
      <c r="F6" s="104">
        <f>COUNT('Operating Forecast'!H15:L15)&amp;" student forecast periods"</f>
        <v/>
      </c>
      <c r="G6" s="103" t="inlineStr">
        <is>
          <t>Source Data; Assumptions; Operating Forecast</t>
        </is>
      </c>
    </row>
    <row r="7" ht="75.75" customHeight="1" s="74">
      <c r="A7" s="102" t="inlineStr">
        <is>
          <t>Step III</t>
        </is>
      </c>
      <c r="B7" s="103" t="inlineStr">
        <is>
          <t>Build the Debt, Interest, and Cash-Sweep Schedule</t>
        </is>
      </c>
      <c r="C7" s="105">
        <f>'Debt Schedule'!F30</f>
        <v/>
      </c>
      <c r="D7" s="103" t="inlineStr">
        <is>
          <t>Applied beginning-balance interest, mandatory term-loan amortization, revolver support, and a revolver-first excess-cash sweep without circular references.</t>
        </is>
      </c>
      <c r="E7" s="103" t="inlineStr">
        <is>
          <t>Confirm that debt never becomes negative, cash remains at or above the minimum, and every annual debt roll-forward equals zero.</t>
        </is>
      </c>
      <c r="F7" s="105">
        <f>'Debt Schedule'!L30</f>
        <v/>
      </c>
      <c r="G7" s="103" t="inlineStr">
        <is>
          <t>Debt Schedule; Checks</t>
        </is>
      </c>
    </row>
    <row r="8" ht="75.75" customHeight="1" s="74">
      <c r="A8" s="102" t="inlineStr">
        <is>
          <t>Step IV</t>
        </is>
      </c>
      <c r="B8" s="103" t="inlineStr">
        <is>
          <t>Calculate Exit Enterprise Value and Sponsor Equity Proceeds</t>
        </is>
      </c>
      <c r="C8" s="105">
        <f>Returns!B18</f>
        <v/>
      </c>
      <c r="D8" s="103" t="inlineStr">
        <is>
          <t>Applied the selected exit EBITDA multiple, subtracted remaining debt and exit fees, and added ending cash to calculate sponsor equity proceeds.</t>
        </is>
      </c>
      <c r="E8" s="103" t="inlineStr">
        <is>
          <t>Test a conservative exit multiple and explain the enterprise-to-equity bridge.</t>
        </is>
      </c>
      <c r="F8" s="105">
        <f>Returns!E18</f>
        <v/>
      </c>
      <c r="G8" s="103" t="inlineStr">
        <is>
          <t>Returns; Checks</t>
        </is>
      </c>
    </row>
    <row r="9" ht="75.75" customHeight="1" s="74">
      <c r="A9" s="102" t="inlineStr">
        <is>
          <t>Step V</t>
        </is>
      </c>
      <c r="B9" s="103" t="inlineStr">
        <is>
          <t>Calculate MOIC, IRR, Maximum Purchase Price, and Sensitivities</t>
        </is>
      </c>
      <c r="C9" s="106">
        <f>Valuation!B6</f>
        <v/>
      </c>
      <c r="D9" s="103" t="inlineStr">
        <is>
          <t>Calculated sponsor MOIC and annualized IRR, solved the maximum purchase price at the target IRR, and recalculated a formula-driven entry/exit multiple sensitivity.</t>
        </is>
      </c>
      <c r="E9" s="103" t="inlineStr">
        <is>
          <t>Compare student IRR with the target return, review the sensitivity range, and state the maximum affordable entry price.</t>
        </is>
      </c>
      <c r="F9" s="106">
        <f>Valuation!C6</f>
        <v/>
      </c>
      <c r="G9" s="103" t="inlineStr">
        <is>
          <t>Returns; Sensitivity; Valuation; Checks</t>
        </is>
      </c>
    </row>
    <row r="10"/>
    <row r="11" ht="18" customHeight="1" s="74">
      <c r="A11" s="77" t="inlineStr">
        <is>
          <t>Modeling conventions</t>
        </is>
      </c>
    </row>
    <row r="12" ht="15" customHeight="1" s="74">
      <c r="A12" s="107" t="inlineStr">
        <is>
          <t>• Blue font + blue fill = editable student assumption or inclusion decision.</t>
        </is>
      </c>
    </row>
    <row r="13" ht="15" customHeight="1" s="74">
      <c r="A13" s="107" t="inlineStr">
        <is>
          <t>• Green font = formula linked to another sheet in this workbook.</t>
        </is>
      </c>
    </row>
    <row r="14" ht="15" customHeight="1" s="74">
      <c r="A14" s="107" t="inlineStr">
        <is>
          <t>• Black font = formula on the same sheet or a downloaded source value.</t>
        </is>
      </c>
    </row>
    <row r="15" ht="15" customHeight="1" s="74">
      <c r="A15" s="107" t="inlineStr">
        <is>
          <t>• N/M = not meaningful or not available; read the adjacent note instead of treating it as zero.</t>
        </is>
      </c>
    </row>
    <row r="16" ht="15" customHeight="1" s="74">
      <c r="A16" s="107" t="inlineStr">
        <is>
          <t>• All monetary values use the unit scale shown on Cover. Do not mix dollars and millions.</t>
        </is>
      </c>
    </row>
  </sheetData>
  <mergeCells count="8">
    <mergeCell ref="A13:G13"/>
    <mergeCell ref="A11:F11"/>
    <mergeCell ref="A14:G14"/>
    <mergeCell ref="A1:G1"/>
    <mergeCell ref="A12:G12"/>
    <mergeCell ref="A2:G2"/>
    <mergeCell ref="A16:G16"/>
    <mergeCell ref="A15:G15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filterMode="0">
    <tabColor rgb="FF70AD47"/>
    <outlinePr summaryBelow="1" summaryRight="1"/>
    <pageSetUpPr fitToPage="1"/>
  </sheetPr>
  <dimension ref="A1:G15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1" customWidth="1" style="73" min="1" max="1"/>
    <col width="17" customWidth="1" style="73" min="2" max="6"/>
    <col width="62" customWidth="1" style="73" min="7" max="7"/>
  </cols>
  <sheetData>
    <row r="1" ht="27" customHeight="1" s="74">
      <c r="A1" s="75" t="inlineStr">
        <is>
          <t>LBO Source Data and Provenance</t>
        </is>
      </c>
    </row>
    <row r="2" ht="25.5" customHeight="1" s="74">
      <c r="A2" s="76" t="inlineStr">
        <is>
          <t>Reported operating history and balance-sheet facts. Canonical inputs are raw currency units; this workbook displays and calculates monetary amounts in USD millions.</t>
        </is>
      </c>
    </row>
    <row r="3"/>
    <row r="4" ht="18" customHeight="1" s="74">
      <c r="A4" s="77" t="inlineStr">
        <is>
          <t>Historical reported data — fiscal years across columns</t>
        </is>
      </c>
    </row>
    <row r="5" ht="28.5" customHeight="1" s="74">
      <c r="A5" s="86" t="inlineStr">
        <is>
          <t>Historical Metric</t>
        </is>
      </c>
      <c r="B5" s="108" t="n">
        <v>41182</v>
      </c>
      <c r="C5" s="108" t="n">
        <v>41546</v>
      </c>
      <c r="D5" s="108" t="n">
        <v>41910</v>
      </c>
      <c r="E5" s="108" t="n">
        <v>42274</v>
      </c>
      <c r="F5" s="108" t="n">
        <v>42638</v>
      </c>
      <c r="G5" s="86" t="inlineStr">
        <is>
          <t>Definition / Audit Note</t>
        </is>
      </c>
    </row>
    <row r="6" ht="15" customHeight="1" s="74">
      <c r="A6" s="79" t="inlineStr">
        <is>
          <t>Revenue</t>
        </is>
      </c>
      <c r="B6" s="109" t="n">
        <v>11699</v>
      </c>
      <c r="C6" s="109" t="n">
        <v>12917</v>
      </c>
      <c r="D6" s="109" t="n">
        <v>14194</v>
      </c>
      <c r="E6" s="109" t="n">
        <v>15389</v>
      </c>
      <c r="F6" s="109" t="n">
        <v>15724</v>
      </c>
      <c r="G6" s="110" t="inlineStr">
        <is>
          <t>Reported revenue.</t>
        </is>
      </c>
    </row>
    <row r="7" ht="26.85" customHeight="1" s="74">
      <c r="A7" s="79" t="inlineStr">
        <is>
          <t>EBITDA</t>
        </is>
      </c>
      <c r="B7" s="109" t="n">
        <v>1055</v>
      </c>
      <c r="C7" s="109" t="n">
        <v>1222</v>
      </c>
      <c r="D7" s="109" t="n">
        <v>1311</v>
      </c>
      <c r="E7" s="109" t="n">
        <v>1300</v>
      </c>
      <c r="F7" s="109" t="n">
        <v>1355</v>
      </c>
      <c r="G7" s="110" t="inlineStr">
        <is>
          <t>Reported EBITDA or EBIT plus reported depreciation and amortization.</t>
        </is>
      </c>
    </row>
    <row r="8" ht="15" customHeight="1" s="74">
      <c r="A8" s="79" t="inlineStr">
        <is>
          <t>D&amp;A</t>
        </is>
      </c>
      <c r="B8" s="109" t="n">
        <v>311</v>
      </c>
      <c r="C8" s="109" t="n">
        <v>339</v>
      </c>
      <c r="D8" s="109" t="n">
        <v>377</v>
      </c>
      <c r="E8" s="109" t="n">
        <v>439</v>
      </c>
      <c r="F8" s="109" t="n">
        <v>498</v>
      </c>
      <c r="G8" s="110" t="inlineStr">
        <is>
          <t>Depreciation and amortization.</t>
        </is>
      </c>
    </row>
    <row r="9" ht="15" customHeight="1" s="74">
      <c r="A9" s="79" t="inlineStr">
        <is>
          <t>EBIT</t>
        </is>
      </c>
      <c r="B9" s="109" t="n">
        <v>744</v>
      </c>
      <c r="C9" s="109" t="n">
        <v>883</v>
      </c>
      <c r="D9" s="109" t="n">
        <v>934</v>
      </c>
      <c r="E9" s="109" t="n">
        <v>861</v>
      </c>
      <c r="F9" s="109" t="n">
        <v>857</v>
      </c>
      <c r="G9" s="110" t="inlineStr">
        <is>
          <t>Reported operating income / EBIT.</t>
        </is>
      </c>
    </row>
    <row r="10" ht="15" customHeight="1" s="74">
      <c r="A10" s="79" t="inlineStr">
        <is>
          <t>Capital Expenditures</t>
        </is>
      </c>
      <c r="B10" s="109" t="n">
        <v>0</v>
      </c>
      <c r="C10" s="109" t="n">
        <v>0</v>
      </c>
      <c r="D10" s="109" t="n">
        <v>710</v>
      </c>
      <c r="E10" s="109" t="n">
        <v>851</v>
      </c>
      <c r="F10" s="109" t="n">
        <v>716</v>
      </c>
      <c r="G10" s="110" t="inlineStr">
        <is>
          <t>Capital expenditures shown as a positive cash use.</t>
        </is>
      </c>
    </row>
    <row r="11" ht="26.85" customHeight="1" s="74">
      <c r="A11" s="79" t="inlineStr">
        <is>
          <t>Change in Working Capital</t>
        </is>
      </c>
      <c r="B11" s="111" t="inlineStr">
        <is>
          <t>N/M</t>
        </is>
      </c>
      <c r="C11" s="109" t="n">
        <v>-435</v>
      </c>
      <c r="D11" s="109" t="n">
        <v>-293</v>
      </c>
      <c r="E11" s="109" t="n">
        <v>-251</v>
      </c>
      <c r="F11" s="109" t="n">
        <v>228</v>
      </c>
      <c r="G11" s="110" t="inlineStr">
        <is>
          <t>Increase in operating working capital shown as a positive cash use.</t>
        </is>
      </c>
    </row>
    <row r="12" ht="15" customHeight="1" s="74">
      <c r="A12" s="79" t="inlineStr">
        <is>
          <t>Cash Tax Rate</t>
        </is>
      </c>
      <c r="B12" s="112" t="n">
        <v>0.38031914893617</v>
      </c>
      <c r="C12" s="112" t="n">
        <v>0.383668903803132</v>
      </c>
      <c r="D12" s="112" t="n">
        <v>0.387949260042283</v>
      </c>
      <c r="E12" s="112" t="n">
        <v>0.389521640091116</v>
      </c>
      <c r="F12" s="112" t="n">
        <v>0.386940749697703</v>
      </c>
      <c r="G12" s="110" t="inlineStr">
        <is>
          <t>Reported or derived effective cash-tax rate.</t>
        </is>
      </c>
    </row>
    <row r="13" ht="15" customHeight="1" s="74">
      <c r="A13" s="79" t="inlineStr">
        <is>
          <t>Cash</t>
        </is>
      </c>
      <c r="B13" s="111" t="inlineStr">
        <is>
          <t>N/M</t>
        </is>
      </c>
      <c r="C13" s="111" t="inlineStr">
        <is>
          <t>N/M</t>
        </is>
      </c>
      <c r="D13" s="111" t="inlineStr">
        <is>
          <t>N/M</t>
        </is>
      </c>
      <c r="E13" s="111" t="inlineStr">
        <is>
          <t>N/M</t>
        </is>
      </c>
      <c r="F13" s="109" t="n">
        <v>351</v>
      </c>
      <c r="G13" s="110" t="inlineStr">
        <is>
          <t>Cash and cash equivalents available at entry.</t>
        </is>
      </c>
    </row>
    <row r="14" ht="15" customHeight="1" s="74">
      <c r="A14" s="79" t="inlineStr">
        <is>
          <t>Existing Debt</t>
        </is>
      </c>
      <c r="B14" s="111" t="inlineStr">
        <is>
          <t>N/M</t>
        </is>
      </c>
      <c r="C14" s="111" t="inlineStr">
        <is>
          <t>N/M</t>
        </is>
      </c>
      <c r="D14" s="111" t="inlineStr">
        <is>
          <t>N/M</t>
        </is>
      </c>
      <c r="E14" s="111" t="inlineStr">
        <is>
          <t>N/M</t>
        </is>
      </c>
      <c r="F14" s="109" t="n">
        <v>986</v>
      </c>
      <c r="G14" s="110" t="inlineStr">
        <is>
          <t>Debt to be refinanced at transaction close.</t>
        </is>
      </c>
    </row>
    <row r="15" ht="15" customHeight="1" s="74">
      <c r="A15" s="79" t="inlineStr">
        <is>
          <t>Source ID</t>
        </is>
      </c>
      <c r="B15" s="107" t="inlineStr">
        <is>
          <t>SRC-HIST-01</t>
        </is>
      </c>
      <c r="C15" s="107" t="inlineStr">
        <is>
          <t>SRC-HIST-02</t>
        </is>
      </c>
      <c r="D15" s="107" t="inlineStr">
        <is>
          <t>SRC-HIST-03</t>
        </is>
      </c>
      <c r="E15" s="107" t="inlineStr">
        <is>
          <t>SRC-HIST-04</t>
        </is>
      </c>
      <c r="F15" s="107" t="inlineStr">
        <is>
          <t>SRC-HIST-05</t>
        </is>
      </c>
      <c r="G15" s="110" t="inlineStr">
        <is>
          <t>Period-level source identifier. Full citations belong on Sources.</t>
        </is>
      </c>
    </row>
  </sheetData>
  <mergeCells count="3">
    <mergeCell ref="A2:G2"/>
    <mergeCell ref="A1:G1"/>
    <mergeCell ref="A4:G4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filterMode="0">
    <tabColor rgb="FF4472C4"/>
    <outlinePr summaryBelow="1" summaryRight="1"/>
    <pageSetUpPr fitToPage="1"/>
  </sheetPr>
  <dimension ref="A1:G42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40" customWidth="1" style="73" min="1" max="1"/>
    <col width="17" customWidth="1" style="73" min="2" max="4"/>
    <col width="45" customWidth="1" style="73" min="5" max="5"/>
    <col width="34" customWidth="1" style="73" min="6" max="6"/>
    <col width="30" customWidth="1" style="73" min="7" max="7"/>
  </cols>
  <sheetData>
    <row r="1" ht="27" customHeight="1" s="74">
      <c r="A1" s="75" t="inlineStr">
        <is>
          <t>Student Template Controls — Leveraged Buyout</t>
        </is>
      </c>
    </row>
    <row r="2" ht="25.5" customHeight="1" s="74">
      <c r="A2" s="76" t="inlineStr">
        <is>
          <t>Column B contains the AI Valuation assumptions. Blue Column C cells and the blue annual driver grid are the editable student template. Financing terms are illustrative reference assumptions, not SEC facts.</t>
        </is>
      </c>
    </row>
    <row r="3"/>
    <row r="4" ht="28.5" customHeight="1" s="74">
      <c r="A4" s="86" t="inlineStr">
        <is>
          <t>Assumption</t>
        </is>
      </c>
      <c r="B4" s="86" t="inlineStr">
        <is>
          <t>AI Valuation</t>
        </is>
      </c>
      <c r="C4" s="86" t="inlineStr">
        <is>
          <t>Student Template / Edit</t>
        </is>
      </c>
      <c r="D4" s="86" t="inlineStr">
        <is>
          <t>Units</t>
        </is>
      </c>
      <c r="E4" s="86" t="inlineStr">
        <is>
          <t>Rationale</t>
        </is>
      </c>
      <c r="F4" s="86" t="inlineStr">
        <is>
          <t>Source / Instruction</t>
        </is>
      </c>
      <c r="G4" s="86" t="inlineStr">
        <is>
          <t>Model Effect</t>
        </is>
      </c>
    </row>
    <row r="5" ht="27.75" customHeight="1" s="74">
      <c r="A5" s="110" t="inlineStr">
        <is>
          <t>Entry EBITDA</t>
        </is>
      </c>
      <c r="B5" s="113">
        <f>'Source Data'!F7</f>
        <v/>
      </c>
      <c r="C5" s="114">
        <f>'Source Data'!F7</f>
        <v/>
      </c>
      <c r="D5" s="115" t="inlineStr">
        <is>
          <t>USD mm</t>
        </is>
      </c>
      <c r="E5" s="110" t="inlineStr">
        <is>
          <t>Latest reported EBITDA used to size purchase price and debt.</t>
        </is>
      </c>
      <c r="F5" s="110" t="inlineStr">
        <is>
          <t>Source Data</t>
        </is>
      </c>
      <c r="G5" s="110" t="inlineStr">
        <is>
          <t>Entry value and debt capacity</t>
        </is>
      </c>
    </row>
    <row r="6" ht="27.75" customHeight="1" s="74">
      <c r="A6" s="110" t="inlineStr">
        <is>
          <t>Entry EBITDA Multiple</t>
        </is>
      </c>
      <c r="B6" s="116" t="n">
        <v>8</v>
      </c>
      <c r="C6" s="117" t="n">
        <v>8</v>
      </c>
      <c r="D6" s="115" t="inlineStr">
        <is>
          <t>Multiple</t>
        </is>
      </c>
      <c r="E6" s="110" t="inlineStr">
        <is>
          <t>Purchase enterprise value equals entry EBITDA multiplied by this assumption.</t>
        </is>
      </c>
      <c r="F6" s="110" t="inlineStr">
        <is>
          <t>Reference case assumption</t>
        </is>
      </c>
      <c r="G6" s="110" t="inlineStr">
        <is>
          <t>Purchase price</t>
        </is>
      </c>
    </row>
    <row r="7" ht="27.75" customHeight="1" s="74">
      <c r="A7" s="110" t="inlineStr">
        <is>
          <t>Existing Debt Refinanced</t>
        </is>
      </c>
      <c r="B7" s="113">
        <f>'Source Data'!F14</f>
        <v/>
      </c>
      <c r="C7" s="114">
        <f>'Source Data'!F14</f>
        <v/>
      </c>
      <c r="D7" s="115" t="inlineStr">
        <is>
          <t>USD mm</t>
        </is>
      </c>
      <c r="E7" s="110" t="inlineStr">
        <is>
          <t>Existing debt is repaid at closing.</t>
        </is>
      </c>
      <c r="F7" s="110" t="inlineStr">
        <is>
          <t>Source Data</t>
        </is>
      </c>
      <c r="G7" s="110" t="inlineStr">
        <is>
          <t>Uses and equity bridge</t>
        </is>
      </c>
    </row>
    <row r="8" ht="27.75" customHeight="1" s="74">
      <c r="A8" s="110" t="inlineStr">
        <is>
          <t>Cash Acquired</t>
        </is>
      </c>
      <c r="B8" s="113">
        <f>'Source Data'!F13</f>
        <v/>
      </c>
      <c r="C8" s="114">
        <f>'Source Data'!F13</f>
        <v/>
      </c>
      <c r="D8" s="115" t="inlineStr">
        <is>
          <t>USD mm</t>
        </is>
      </c>
      <c r="E8" s="110" t="inlineStr">
        <is>
          <t>Target cash is acquired and appears as a source at closing.</t>
        </is>
      </c>
      <c r="F8" s="110" t="inlineStr">
        <is>
          <t>Source Data</t>
        </is>
      </c>
      <c r="G8" s="110" t="inlineStr">
        <is>
          <t>Sources and equity bridge</t>
        </is>
      </c>
    </row>
    <row r="9" ht="27.75" customHeight="1" s="74">
      <c r="A9" s="110" t="inlineStr">
        <is>
          <t>Minimum Cash</t>
        </is>
      </c>
      <c r="B9" s="118" t="n">
        <v>314.48</v>
      </c>
      <c r="C9" s="114" t="n">
        <v>314.48</v>
      </c>
      <c r="D9" s="115" t="inlineStr">
        <is>
          <t>USD mm</t>
        </is>
      </c>
      <c r="E9" s="110" t="inlineStr">
        <is>
          <t>Operating cash retained at close and throughout the forecast.</t>
        </is>
      </c>
      <c r="F9" s="110" t="inlineStr">
        <is>
          <t>Reference case assumption</t>
        </is>
      </c>
      <c r="G9" s="110" t="inlineStr">
        <is>
          <t>Liquidity</t>
        </is>
      </c>
    </row>
    <row r="10" ht="27.75" customHeight="1" s="74">
      <c r="A10" s="110" t="inlineStr">
        <is>
          <t>Transaction Fee as % of Entry EV</t>
        </is>
      </c>
      <c r="B10" s="119" t="n">
        <v>0.02</v>
      </c>
      <c r="C10" s="120" t="n">
        <v>0.02</v>
      </c>
      <c r="D10" s="115" t="inlineStr">
        <is>
          <t>Rate</t>
        </is>
      </c>
      <c r="E10" s="110" t="inlineStr">
        <is>
          <t>Advisory, legal, and other acquisition fees.</t>
        </is>
      </c>
      <c r="F10" s="110" t="inlineStr">
        <is>
          <t>Reference case assumption</t>
        </is>
      </c>
      <c r="G10" s="110" t="inlineStr">
        <is>
          <t>Total uses</t>
        </is>
      </c>
    </row>
    <row r="11" ht="27.75" customHeight="1" s="74">
      <c r="A11" s="110" t="inlineStr">
        <is>
          <t>Term Loan / Entry EBITDA</t>
        </is>
      </c>
      <c r="B11" s="116" t="n">
        <v>4.5</v>
      </c>
      <c r="C11" s="117" t="n">
        <v>4.5</v>
      </c>
      <c r="D11" s="115" t="inlineStr">
        <is>
          <t>Multiple</t>
        </is>
      </c>
      <c r="E11" s="110" t="inlineStr">
        <is>
          <t>Initial term loan sized as a multiple of entry EBITDA.</t>
        </is>
      </c>
      <c r="F11" s="110" t="inlineStr">
        <is>
          <t>Reference case assumption</t>
        </is>
      </c>
      <c r="G11" s="110" t="inlineStr">
        <is>
          <t>Debt financing</t>
        </is>
      </c>
    </row>
    <row r="12" ht="27.75" customHeight="1" s="74">
      <c r="A12" s="110" t="inlineStr">
        <is>
          <t>Revolver at Close</t>
        </is>
      </c>
      <c r="B12" s="118" t="n">
        <v>0</v>
      </c>
      <c r="C12" s="114" t="n">
        <v>0</v>
      </c>
      <c r="D12" s="115" t="inlineStr">
        <is>
          <t>USD mm</t>
        </is>
      </c>
      <c r="E12" s="110" t="inlineStr">
        <is>
          <t>Initial revolver draw. The beginner base case normally begins at zero.</t>
        </is>
      </c>
      <c r="F12" s="110" t="inlineStr">
        <is>
          <t>Reference case assumption</t>
        </is>
      </c>
      <c r="G12" s="110" t="inlineStr">
        <is>
          <t>Debt financing</t>
        </is>
      </c>
    </row>
    <row r="13" ht="27.75" customHeight="1" s="74">
      <c r="A13" s="110" t="inlineStr">
        <is>
          <t>Revolver Limit / Entry EBITDA</t>
        </is>
      </c>
      <c r="B13" s="116" t="n">
        <v>0.6</v>
      </c>
      <c r="C13" s="117" t="n">
        <v>0.6</v>
      </c>
      <c r="D13" s="115" t="inlineStr">
        <is>
          <t>Multiple</t>
        </is>
      </c>
      <c r="E13" s="110" t="inlineStr">
        <is>
          <t>Maximum permitted revolver balance.</t>
        </is>
      </c>
      <c r="F13" s="110" t="inlineStr">
        <is>
          <t>Reference case assumption</t>
        </is>
      </c>
      <c r="G13" s="110" t="inlineStr">
        <is>
          <t>Liquidity capacity</t>
        </is>
      </c>
    </row>
    <row r="14" ht="27.75" customHeight="1" s="74">
      <c r="A14" s="110" t="inlineStr">
        <is>
          <t>Financing Fee as % of Initial Debt</t>
        </is>
      </c>
      <c r="B14" s="119" t="n">
        <v>0.02</v>
      </c>
      <c r="C14" s="120" t="n">
        <v>0.02</v>
      </c>
      <c r="D14" s="115" t="inlineStr">
        <is>
          <t>Rate</t>
        </is>
      </c>
      <c r="E14" s="110" t="inlineStr">
        <is>
          <t>Financing fees applied to term loan and revolver funded at close.</t>
        </is>
      </c>
      <c r="F14" s="110" t="inlineStr">
        <is>
          <t>Reference case assumption</t>
        </is>
      </c>
      <c r="G14" s="110" t="inlineStr">
        <is>
          <t>Total uses</t>
        </is>
      </c>
    </row>
    <row r="15" ht="27.75" customHeight="1" s="74">
      <c r="A15" s="110" t="inlineStr">
        <is>
          <t>Term Loan Interest Rate</t>
        </is>
      </c>
      <c r="B15" s="119" t="n">
        <v>0.08</v>
      </c>
      <c r="C15" s="120" t="n">
        <v>0.08</v>
      </c>
      <c r="D15" s="115" t="inlineStr">
        <is>
          <t>Rate</t>
        </is>
      </c>
      <c r="E15" s="110" t="inlineStr">
        <is>
          <t>Fixed cash interest on beginning-of-year term debt.</t>
        </is>
      </c>
      <c r="F15" s="110" t="inlineStr">
        <is>
          <t>Reference case assumption</t>
        </is>
      </c>
      <c r="G15" s="110" t="inlineStr">
        <is>
          <t>Interest expense</t>
        </is>
      </c>
    </row>
    <row r="16" ht="27.75" customHeight="1" s="74">
      <c r="A16" s="110" t="inlineStr">
        <is>
          <t>Revolver Interest Rate</t>
        </is>
      </c>
      <c r="B16" s="119" t="n">
        <v>0.1</v>
      </c>
      <c r="C16" s="120" t="n">
        <v>0.1</v>
      </c>
      <c r="D16" s="115" t="inlineStr">
        <is>
          <t>Rate</t>
        </is>
      </c>
      <c r="E16" s="110" t="inlineStr">
        <is>
          <t>Fixed cash interest on beginning-of-year revolver debt.</t>
        </is>
      </c>
      <c r="F16" s="110" t="inlineStr">
        <is>
          <t>Reference case assumption</t>
        </is>
      </c>
      <c r="G16" s="110" t="inlineStr">
        <is>
          <t>Interest expense</t>
        </is>
      </c>
    </row>
    <row r="17" ht="27.75" customHeight="1" s="74">
      <c r="A17" s="110" t="inlineStr">
        <is>
          <t>Mandatory Amortization % of Original Term Loan</t>
        </is>
      </c>
      <c r="B17" s="119" t="n">
        <v>0.01</v>
      </c>
      <c r="C17" s="120" t="n">
        <v>0.01</v>
      </c>
      <c r="D17" s="115" t="inlineStr">
        <is>
          <t>Rate</t>
        </is>
      </c>
      <c r="E17" s="110" t="inlineStr">
        <is>
          <t>Scheduled annual repayment, subject to available liquidity.</t>
        </is>
      </c>
      <c r="F17" s="110" t="inlineStr">
        <is>
          <t>Reference case assumption</t>
        </is>
      </c>
      <c r="G17" s="110" t="inlineStr">
        <is>
          <t>Debt repayment</t>
        </is>
      </c>
    </row>
    <row r="18" ht="27.75" customHeight="1" s="74">
      <c r="A18" s="110" t="inlineStr">
        <is>
          <t>Excess-Cash Sweep</t>
        </is>
      </c>
      <c r="B18" s="119" t="n">
        <v>1</v>
      </c>
      <c r="C18" s="120" t="n">
        <v>1</v>
      </c>
      <c r="D18" s="115" t="inlineStr">
        <is>
          <t>Rate</t>
        </is>
      </c>
      <c r="E18" s="110" t="inlineStr">
        <is>
          <t>Share of excess cash used to repay revolver first, then term debt.</t>
        </is>
      </c>
      <c r="F18" s="110" t="inlineStr">
        <is>
          <t>Reference case assumption</t>
        </is>
      </c>
      <c r="G18" s="110" t="inlineStr">
        <is>
          <t>Debt repayment</t>
        </is>
      </c>
    </row>
    <row r="19" ht="27.75" customHeight="1" s="74">
      <c r="A19" s="110" t="inlineStr">
        <is>
          <t>Holding Period</t>
        </is>
      </c>
      <c r="B19" s="121" t="n">
        <v>5</v>
      </c>
      <c r="C19" s="122" t="n">
        <v>5</v>
      </c>
      <c r="D19" s="115" t="inlineStr">
        <is>
          <t>Years</t>
        </is>
      </c>
      <c r="E19" s="110" t="inlineStr">
        <is>
          <t>Exit occurs at the end of the selected annual period.</t>
        </is>
      </c>
      <c r="F19" s="110" t="inlineStr">
        <is>
          <t>Reference case assumption</t>
        </is>
      </c>
      <c r="G19" s="110" t="inlineStr">
        <is>
          <t>Exit timing and IRR</t>
        </is>
      </c>
    </row>
    <row r="20" ht="27.75" customHeight="1" s="74">
      <c r="A20" s="110" t="inlineStr">
        <is>
          <t>Exit EBITDA Multiple</t>
        </is>
      </c>
      <c r="B20" s="116" t="n">
        <v>8</v>
      </c>
      <c r="C20" s="117" t="n">
        <v>8</v>
      </c>
      <c r="D20" s="115" t="inlineStr">
        <is>
          <t>Multiple</t>
        </is>
      </c>
      <c r="E20" s="110" t="inlineStr">
        <is>
          <t>Exit enterprise value equals exit EBITDA multiplied by this assumption.</t>
        </is>
      </c>
      <c r="F20" s="110" t="inlineStr">
        <is>
          <t>Reference case assumption</t>
        </is>
      </c>
      <c r="G20" s="110" t="inlineStr">
        <is>
          <t>Exit value</t>
        </is>
      </c>
    </row>
    <row r="21" ht="27.75" customHeight="1" s="74">
      <c r="A21" s="110" t="inlineStr">
        <is>
          <t>Exit Fee as % of Exit EV</t>
        </is>
      </c>
      <c r="B21" s="119" t="n">
        <v>0.01</v>
      </c>
      <c r="C21" s="120" t="n">
        <v>0.01</v>
      </c>
      <c r="D21" s="115" t="inlineStr">
        <is>
          <t>Rate</t>
        </is>
      </c>
      <c r="E21" s="110" t="inlineStr">
        <is>
          <t>Selling costs deducted from sponsor proceeds.</t>
        </is>
      </c>
      <c r="F21" s="110" t="inlineStr">
        <is>
          <t>Reference case assumption</t>
        </is>
      </c>
      <c r="G21" s="110" t="inlineStr">
        <is>
          <t>Exit equity proceeds</t>
        </is>
      </c>
    </row>
    <row r="22" ht="27.75" customHeight="1" s="74">
      <c r="A22" s="110" t="inlineStr">
        <is>
          <t>Target Sponsor IRR</t>
        </is>
      </c>
      <c r="B22" s="119" t="n">
        <v>0.2</v>
      </c>
      <c r="C22" s="120" t="n">
        <v>0.2</v>
      </c>
      <c r="D22" s="115" t="inlineStr">
        <is>
          <t>Rate</t>
        </is>
      </c>
      <c r="E22" s="110" t="inlineStr">
        <is>
          <t>Required annualized equity return used in the maximum-price calculation.</t>
        </is>
      </c>
      <c r="F22" s="110" t="inlineStr">
        <is>
          <t>Reference case assumption</t>
        </is>
      </c>
      <c r="G22" s="110" t="inlineStr">
        <is>
          <t>Investment decision</t>
        </is>
      </c>
    </row>
    <row r="23"/>
    <row r="24"/>
    <row r="25" ht="18" customHeight="1" s="74">
      <c r="A25" s="77" t="inlineStr">
        <is>
          <t>AI Valuation — Annual Operating Drivers</t>
        </is>
      </c>
    </row>
    <row r="26" ht="28.5" customHeight="1" s="74">
      <c r="A26" s="86" t="inlineStr">
        <is>
          <t>Driver</t>
        </is>
      </c>
      <c r="B26" s="86" t="inlineStr">
        <is>
          <t>2017E</t>
        </is>
      </c>
      <c r="C26" s="86" t="inlineStr">
        <is>
          <t>2018E</t>
        </is>
      </c>
      <c r="D26" s="86" t="inlineStr">
        <is>
          <t>2019E</t>
        </is>
      </c>
      <c r="E26" s="86" t="inlineStr">
        <is>
          <t>2020E</t>
        </is>
      </c>
      <c r="F26" s="86" t="inlineStr">
        <is>
          <t>2021E</t>
        </is>
      </c>
      <c r="G26" s="86" t="inlineStr">
        <is>
          <t>Purpose</t>
        </is>
      </c>
    </row>
    <row r="27" ht="15" customHeight="1" s="74">
      <c r="A27" s="79" t="inlineStr">
        <is>
          <t>Revenue Growth</t>
        </is>
      </c>
      <c r="B27" s="112" t="n">
        <v>0.0733524024235592</v>
      </c>
      <c r="C27" s="112" t="n">
        <v>0.0625143018176695</v>
      </c>
      <c r="D27" s="112" t="n">
        <v>0.0516762012117795</v>
      </c>
      <c r="E27" s="112" t="n">
        <v>0.0408381006058898</v>
      </c>
      <c r="F27" s="112" t="n">
        <v>0.03</v>
      </c>
      <c r="G27" s="79" t="inlineStr">
        <is>
          <t>Annual operating assumption used by the AI forecast.</t>
        </is>
      </c>
    </row>
    <row r="28" ht="15" customHeight="1" s="74">
      <c r="A28" s="79" t="inlineStr">
        <is>
          <t>EBITDA Margin</t>
        </is>
      </c>
      <c r="B28" s="112" t="n">
        <v>0.0844759243615569</v>
      </c>
      <c r="C28" s="112" t="n">
        <v>0.084475924361557</v>
      </c>
      <c r="D28" s="112" t="n">
        <v>0.084475924361557</v>
      </c>
      <c r="E28" s="112" t="n">
        <v>0.084475924361557</v>
      </c>
      <c r="F28" s="112" t="n">
        <v>0.084475924361557</v>
      </c>
      <c r="G28" s="79" t="inlineStr">
        <is>
          <t>Annual operating assumption used by the AI forecast.</t>
        </is>
      </c>
    </row>
    <row r="29" ht="15" customHeight="1" s="74">
      <c r="A29" s="79" t="inlineStr">
        <is>
          <t>D&amp;A as % Revenue</t>
        </is>
      </c>
      <c r="B29" s="112" t="n">
        <v>0.028526869842095</v>
      </c>
      <c r="C29" s="112" t="n">
        <v>0.028526869842095</v>
      </c>
      <c r="D29" s="112" t="n">
        <v>0.028526869842095</v>
      </c>
      <c r="E29" s="112" t="n">
        <v>0.028526869842095</v>
      </c>
      <c r="F29" s="112" t="n">
        <v>0.028526869842095</v>
      </c>
      <c r="G29" s="79" t="inlineStr">
        <is>
          <t>Annual operating assumption used by the AI forecast.</t>
        </is>
      </c>
    </row>
    <row r="30" ht="15" customHeight="1" s="74">
      <c r="A30" s="79" t="inlineStr">
        <is>
          <t>Cash Tax Rate</t>
        </is>
      </c>
      <c r="B30" s="112" t="n">
        <v>0.387949260042283</v>
      </c>
      <c r="C30" s="112" t="n">
        <v>0.387949260042283</v>
      </c>
      <c r="D30" s="112" t="n">
        <v>0.387949260042283</v>
      </c>
      <c r="E30" s="112" t="n">
        <v>0.387949260042283</v>
      </c>
      <c r="F30" s="112" t="n">
        <v>0.387949260042283</v>
      </c>
      <c r="G30" s="79" t="inlineStr">
        <is>
          <t>Annual operating assumption used by the AI forecast.</t>
        </is>
      </c>
    </row>
    <row r="31" ht="15" customHeight="1" s="74">
      <c r="A31" s="79" t="inlineStr">
        <is>
          <t>CapEx as % Revenue</t>
        </is>
      </c>
      <c r="B31" s="112" t="n">
        <v>0.0500211356911371</v>
      </c>
      <c r="C31" s="112" t="n">
        <v>0.0500211356911371</v>
      </c>
      <c r="D31" s="112" t="n">
        <v>0.0500211356911371</v>
      </c>
      <c r="E31" s="112" t="n">
        <v>0.0500211356911371</v>
      </c>
      <c r="F31" s="112" t="n">
        <v>0.0500211356911371</v>
      </c>
      <c r="G31" s="79" t="inlineStr">
        <is>
          <t>Annual operating assumption used by the AI forecast.</t>
        </is>
      </c>
    </row>
    <row r="32" ht="15" customHeight="1" s="74">
      <c r="A32" s="79" t="inlineStr">
        <is>
          <t>Change in NWC as % Revenue</t>
        </is>
      </c>
      <c r="B32" s="112" t="n">
        <v>0.00124301110217264</v>
      </c>
      <c r="C32" s="112" t="n">
        <v>0.0010701572514693</v>
      </c>
      <c r="D32" s="112" t="n">
        <v>0.000893740693115293</v>
      </c>
      <c r="E32" s="112" t="n">
        <v>0.000713650133191069</v>
      </c>
      <c r="F32" s="112" t="n">
        <v>0.000529769593448147</v>
      </c>
      <c r="G32" s="79" t="inlineStr">
        <is>
          <t>Annual operating assumption used by the AI forecast.</t>
        </is>
      </c>
    </row>
    <row r="33"/>
    <row r="34"/>
    <row r="35" ht="18" customHeight="1" s="74">
      <c r="A35" s="77" t="inlineStr">
        <is>
          <t>Student Template — Annual Operating Drivers (editable blue cells)</t>
        </is>
      </c>
    </row>
    <row r="36" ht="28.5" customHeight="1" s="74">
      <c r="A36" s="86" t="inlineStr">
        <is>
          <t>Driver</t>
        </is>
      </c>
      <c r="B36" s="86" t="inlineStr">
        <is>
          <t>2017E</t>
        </is>
      </c>
      <c r="C36" s="86" t="inlineStr">
        <is>
          <t>2018E</t>
        </is>
      </c>
      <c r="D36" s="86" t="inlineStr">
        <is>
          <t>2019E</t>
        </is>
      </c>
      <c r="E36" s="86" t="inlineStr">
        <is>
          <t>2020E</t>
        </is>
      </c>
      <c r="F36" s="86" t="inlineStr">
        <is>
          <t>2021E</t>
        </is>
      </c>
      <c r="G36" s="86" t="inlineStr">
        <is>
          <t>Instruction</t>
        </is>
      </c>
    </row>
    <row r="37" ht="15" customHeight="1" s="74">
      <c r="A37" s="79" t="inlineStr">
        <is>
          <t>Revenue Growth</t>
        </is>
      </c>
      <c r="B37" s="123" t="n">
        <v>0.0733524024235592</v>
      </c>
      <c r="C37" s="123" t="n">
        <v>0.0625143018176695</v>
      </c>
      <c r="D37" s="123" t="n">
        <v>0.0516762012117795</v>
      </c>
      <c r="E37" s="123" t="n">
        <v>0.0408381006058898</v>
      </c>
      <c r="F37" s="123" t="n">
        <v>0.03</v>
      </c>
      <c r="G37" s="79" t="inlineStr">
        <is>
          <t>Change only with an economic rationale; all downstream formulas recalculate.</t>
        </is>
      </c>
    </row>
    <row r="38" ht="15" customHeight="1" s="74">
      <c r="A38" s="79" t="inlineStr">
        <is>
          <t>EBITDA Margin</t>
        </is>
      </c>
      <c r="B38" s="123" t="n">
        <v>0.0844759243615569</v>
      </c>
      <c r="C38" s="123" t="n">
        <v>0.084475924361557</v>
      </c>
      <c r="D38" s="123" t="n">
        <v>0.084475924361557</v>
      </c>
      <c r="E38" s="123" t="n">
        <v>0.084475924361557</v>
      </c>
      <c r="F38" s="123" t="n">
        <v>0.084475924361557</v>
      </c>
      <c r="G38" s="79" t="inlineStr">
        <is>
          <t>Change only with an economic rationale; all downstream formulas recalculate.</t>
        </is>
      </c>
    </row>
    <row r="39" ht="15" customHeight="1" s="74">
      <c r="A39" s="79" t="inlineStr">
        <is>
          <t>D&amp;A as % Revenue</t>
        </is>
      </c>
      <c r="B39" s="123" t="n">
        <v>0.028526869842095</v>
      </c>
      <c r="C39" s="123" t="n">
        <v>0.028526869842095</v>
      </c>
      <c r="D39" s="123" t="n">
        <v>0.028526869842095</v>
      </c>
      <c r="E39" s="123" t="n">
        <v>0.028526869842095</v>
      </c>
      <c r="F39" s="123" t="n">
        <v>0.028526869842095</v>
      </c>
      <c r="G39" s="79" t="inlineStr">
        <is>
          <t>Change only with an economic rationale; all downstream formulas recalculate.</t>
        </is>
      </c>
    </row>
    <row r="40" ht="15" customHeight="1" s="74">
      <c r="A40" s="79" t="inlineStr">
        <is>
          <t>Cash Tax Rate</t>
        </is>
      </c>
      <c r="B40" s="123" t="n">
        <v>0.387949260042283</v>
      </c>
      <c r="C40" s="123" t="n">
        <v>0.387949260042283</v>
      </c>
      <c r="D40" s="123" t="n">
        <v>0.387949260042283</v>
      </c>
      <c r="E40" s="123" t="n">
        <v>0.387949260042283</v>
      </c>
      <c r="F40" s="123" t="n">
        <v>0.387949260042283</v>
      </c>
      <c r="G40" s="79" t="inlineStr">
        <is>
          <t>Change only with an economic rationale; all downstream formulas recalculate.</t>
        </is>
      </c>
    </row>
    <row r="41" ht="15" customHeight="1" s="74">
      <c r="A41" s="79" t="inlineStr">
        <is>
          <t>CapEx as % Revenue</t>
        </is>
      </c>
      <c r="B41" s="123" t="n">
        <v>0.0500211356911371</v>
      </c>
      <c r="C41" s="123" t="n">
        <v>0.0500211356911371</v>
      </c>
      <c r="D41" s="123" t="n">
        <v>0.0500211356911371</v>
      </c>
      <c r="E41" s="123" t="n">
        <v>0.0500211356911371</v>
      </c>
      <c r="F41" s="123" t="n">
        <v>0.0500211356911371</v>
      </c>
      <c r="G41" s="79" t="inlineStr">
        <is>
          <t>Change only with an economic rationale; all downstream formulas recalculate.</t>
        </is>
      </c>
    </row>
    <row r="42" ht="15" customHeight="1" s="74">
      <c r="A42" s="79" t="inlineStr">
        <is>
          <t>Change in NWC as % Revenue</t>
        </is>
      </c>
      <c r="B42" s="123" t="n">
        <v>0.00124301110217264</v>
      </c>
      <c r="C42" s="123" t="n">
        <v>0.0010701572514693</v>
      </c>
      <c r="D42" s="123" t="n">
        <v>0.000893740693115293</v>
      </c>
      <c r="E42" s="123" t="n">
        <v>0.000713650133191069</v>
      </c>
      <c r="F42" s="123" t="n">
        <v>0.000529769593448147</v>
      </c>
      <c r="G42" s="79" t="inlineStr">
        <is>
          <t>Change only with an economic rationale; all downstream formulas recalculate.</t>
        </is>
      </c>
    </row>
  </sheetData>
  <mergeCells count="4">
    <mergeCell ref="A2:G2"/>
    <mergeCell ref="A1:G1"/>
    <mergeCell ref="A35:G35"/>
    <mergeCell ref="A25:G25"/>
  </mergeCells>
  <dataValidations count="3">
    <dataValidation sqref="C5:C6 C9 C11 C13 C20" showDropDown="0" showInputMessage="0" showErrorMessage="0" allowBlank="0" type="decimal" errorStyle="stop" operator="greaterThan">
      <formula1>0</formula1>
      <formula2>0</formula2>
    </dataValidation>
    <dataValidation sqref="B37:F42 C10 C14:C18 C21:C22" showDropDown="0" showInputMessage="0" showErrorMessage="0" allowBlank="0" type="decimal" errorStyle="stop" operator="between">
      <formula1>0</formula1>
      <formula2>1</formula2>
    </dataValidation>
    <dataValidation sqref="C19" showDropDown="0" showInputMessage="0" showErrorMessage="0" allowBlank="0" type="whole" errorStyle="stop" operator="between">
      <formula1>3</formula1>
      <formula2>5</formula2>
    </dataValidation>
  </dataValidation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 filterMode="0">
    <tabColor rgb="FF1F4E78"/>
    <outlinePr summaryBelow="1" summaryRight="1"/>
    <pageSetUpPr fitToPage="1"/>
  </sheetPr>
  <dimension ref="A1:F22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1" customWidth="1" style="73" min="1" max="1"/>
    <col width="20" customWidth="1" style="73" min="2" max="2"/>
    <col width="4" customWidth="1" style="73" min="3" max="3"/>
    <col width="31" customWidth="1" style="73" min="4" max="4"/>
    <col width="20" customWidth="1" style="73" min="5" max="5"/>
    <col width="62" customWidth="1" style="73" min="6" max="6"/>
  </cols>
  <sheetData>
    <row r="1" ht="27" customHeight="1" s="74">
      <c r="A1" s="75" t="inlineStr">
        <is>
          <t>Step I. Define the Transaction and Build Sources &amp; Uses</t>
        </is>
      </c>
    </row>
    <row r="2" ht="25.5" customHeight="1" s="74">
      <c r="A2" s="76" t="inlineStr">
        <is>
          <t>AI Valuation and Student Template calculate separately from the assumptions sheet. Sponsor equity is the balancing financing source; the sources-less-uses check must equal zero.</t>
        </is>
      </c>
    </row>
    <row r="3"/>
    <row r="4" ht="28.5" customHeight="1" s="74">
      <c r="A4" s="86" t="inlineStr">
        <is>
          <t>AI Valuation</t>
        </is>
      </c>
      <c r="B4" s="86" t="inlineStr">
        <is>
          <t>USD mm / Multiple</t>
        </is>
      </c>
      <c r="C4" s="86" t="n"/>
      <c r="D4" s="86" t="inlineStr">
        <is>
          <t>Student Template</t>
        </is>
      </c>
      <c r="E4" s="86" t="inlineStr">
        <is>
          <t>USD mm / Multiple</t>
        </is>
      </c>
      <c r="F4" s="86" t="inlineStr">
        <is>
          <t>Explanation</t>
        </is>
      </c>
    </row>
    <row r="5" ht="15" customHeight="1" s="74">
      <c r="A5" s="79" t="inlineStr">
        <is>
          <t>Entry EBITDA</t>
        </is>
      </c>
      <c r="B5" s="124">
        <f>Assumptions!B5</f>
        <v/>
      </c>
      <c r="D5" s="79" t="inlineStr">
        <is>
          <t>Entry EBITDA</t>
        </is>
      </c>
      <c r="E5" s="124">
        <f>Assumptions!C5</f>
        <v/>
      </c>
    </row>
    <row r="6" ht="15" customHeight="1" s="74">
      <c r="A6" s="79" t="inlineStr">
        <is>
          <t>Entry EBITDA Multiple</t>
        </is>
      </c>
      <c r="B6" s="125">
        <f>Assumptions!B6</f>
        <v/>
      </c>
      <c r="D6" s="79" t="inlineStr">
        <is>
          <t>Entry EBITDA Multiple</t>
        </is>
      </c>
      <c r="E6" s="125">
        <f>Assumptions!C6</f>
        <v/>
      </c>
    </row>
    <row r="7" ht="26.85" customHeight="1" s="74">
      <c r="A7" s="126" t="inlineStr">
        <is>
          <t>Purchase Enterprise Value</t>
        </is>
      </c>
      <c r="B7" s="127">
        <f>B5*B6</f>
        <v/>
      </c>
      <c r="D7" s="126" t="inlineStr">
        <is>
          <t>Purchase Enterprise Value</t>
        </is>
      </c>
      <c r="E7" s="127">
        <f>E5*E6</f>
        <v/>
      </c>
      <c r="F7" s="110" t="inlineStr">
        <is>
          <t>Entry enterprise value equals entry EBITDA multiplied by the entry multiple.</t>
        </is>
      </c>
    </row>
    <row r="8" ht="15" customHeight="1" s="74">
      <c r="A8" s="79" t="inlineStr">
        <is>
          <t>Existing Debt</t>
        </is>
      </c>
      <c r="B8" s="124">
        <f>Assumptions!B7</f>
        <v/>
      </c>
      <c r="D8" s="79" t="inlineStr">
        <is>
          <t>Existing Debt</t>
        </is>
      </c>
      <c r="E8" s="124">
        <f>Assumptions!C7</f>
        <v/>
      </c>
    </row>
    <row r="9" ht="15" customHeight="1" s="74">
      <c r="A9" s="79" t="inlineStr">
        <is>
          <t>Existing Cash</t>
        </is>
      </c>
      <c r="B9" s="124">
        <f>Assumptions!B8</f>
        <v/>
      </c>
      <c r="D9" s="79" t="inlineStr">
        <is>
          <t>Existing Cash</t>
        </is>
      </c>
      <c r="E9" s="124">
        <f>Assumptions!C8</f>
        <v/>
      </c>
    </row>
    <row r="10" ht="26.85" customHeight="1" s="74">
      <c r="A10" s="126" t="inlineStr">
        <is>
          <t>Equity Purchase Price</t>
        </is>
      </c>
      <c r="B10" s="127">
        <f>B7-B8+B9</f>
        <v/>
      </c>
      <c r="D10" s="126" t="inlineStr">
        <is>
          <t>Equity Purchase Price</t>
        </is>
      </c>
      <c r="E10" s="127">
        <f>E7-E8+E9</f>
        <v/>
      </c>
      <c r="F10" s="110" t="inlineStr">
        <is>
          <t>Equity purchase price equals enterprise value less existing debt plus existing cash.</t>
        </is>
      </c>
    </row>
    <row r="11" ht="15" customHeight="1" s="74">
      <c r="A11" s="79" t="inlineStr">
        <is>
          <t>Refinance Existing Debt</t>
        </is>
      </c>
      <c r="B11" s="109">
        <f>B8</f>
        <v/>
      </c>
      <c r="D11" s="79" t="inlineStr">
        <is>
          <t>Refinance Existing Debt</t>
        </is>
      </c>
      <c r="E11" s="109">
        <f>E8</f>
        <v/>
      </c>
    </row>
    <row r="12" ht="15" customHeight="1" s="74">
      <c r="A12" s="79" t="inlineStr">
        <is>
          <t>Transaction Fees</t>
        </is>
      </c>
      <c r="B12" s="124">
        <f>B7*Assumptions!B10</f>
        <v/>
      </c>
      <c r="D12" s="79" t="inlineStr">
        <is>
          <t>Transaction Fees</t>
        </is>
      </c>
      <c r="E12" s="124">
        <f>E7*Assumptions!C10</f>
        <v/>
      </c>
    </row>
    <row r="13" ht="15" customHeight="1" s="74">
      <c r="A13" s="79" t="inlineStr">
        <is>
          <t>Financing Fees</t>
        </is>
      </c>
      <c r="B13" s="124">
        <f>(B17+B18)*Assumptions!B14</f>
        <v/>
      </c>
      <c r="D13" s="79" t="inlineStr">
        <is>
          <t>Financing Fees</t>
        </is>
      </c>
      <c r="E13" s="124">
        <f>(E17+E18)*Assumptions!C14</f>
        <v/>
      </c>
    </row>
    <row r="14" ht="15" customHeight="1" s="74">
      <c r="A14" s="79" t="inlineStr">
        <is>
          <t>Minimum Cash Funded</t>
        </is>
      </c>
      <c r="B14" s="124">
        <f>Assumptions!B9</f>
        <v/>
      </c>
      <c r="D14" s="79" t="inlineStr">
        <is>
          <t>Minimum Cash Funded</t>
        </is>
      </c>
      <c r="E14" s="124">
        <f>Assumptions!C9</f>
        <v/>
      </c>
    </row>
    <row r="15" ht="26.85" customHeight="1" s="74">
      <c r="A15" s="126" t="inlineStr">
        <is>
          <t>Total Uses</t>
        </is>
      </c>
      <c r="B15" s="127">
        <f>SUM(B10:B14)</f>
        <v/>
      </c>
      <c r="D15" s="126" t="inlineStr">
        <is>
          <t>Total Uses</t>
        </is>
      </c>
      <c r="E15" s="127">
        <f>SUM(E10:E14)</f>
        <v/>
      </c>
      <c r="F15" s="110" t="inlineStr">
        <is>
          <t>Uses include seller consideration, debt refinancing, fees, and required minimum cash.</t>
        </is>
      </c>
    </row>
    <row r="16" ht="18" customHeight="1" s="74">
      <c r="A16" s="77" t="inlineStr">
        <is>
          <t>Sources</t>
        </is>
      </c>
      <c r="D16" s="77" t="inlineStr">
        <is>
          <t>Sources</t>
        </is>
      </c>
    </row>
    <row r="17" ht="15" customHeight="1" s="74">
      <c r="A17" s="79" t="inlineStr">
        <is>
          <t>Term Loan</t>
        </is>
      </c>
      <c r="B17" s="124">
        <f>B5*Assumptions!B11</f>
        <v/>
      </c>
      <c r="D17" s="79" t="inlineStr">
        <is>
          <t>Term Loan</t>
        </is>
      </c>
      <c r="E17" s="124">
        <f>E5*Assumptions!C11</f>
        <v/>
      </c>
    </row>
    <row r="18" ht="15" customHeight="1" s="74">
      <c r="A18" s="79" t="inlineStr">
        <is>
          <t>Revolver at Close</t>
        </is>
      </c>
      <c r="B18" s="124">
        <f>Assumptions!B12</f>
        <v/>
      </c>
      <c r="D18" s="79" t="inlineStr">
        <is>
          <t>Revolver at Close</t>
        </is>
      </c>
      <c r="E18" s="124">
        <f>Assumptions!C12</f>
        <v/>
      </c>
    </row>
    <row r="19" ht="15" customHeight="1" s="74">
      <c r="A19" s="79" t="inlineStr">
        <is>
          <t>Target Cash</t>
        </is>
      </c>
      <c r="B19" s="109">
        <f>B9</f>
        <v/>
      </c>
      <c r="D19" s="79" t="inlineStr">
        <is>
          <t>Target Cash</t>
        </is>
      </c>
      <c r="E19" s="109">
        <f>E9</f>
        <v/>
      </c>
    </row>
    <row r="20" ht="26.85" customHeight="1" s="74">
      <c r="A20" s="87" t="inlineStr">
        <is>
          <t>Sponsor Equity</t>
        </is>
      </c>
      <c r="B20" s="95">
        <f>B15-SUM(B17:B19)</f>
        <v/>
      </c>
      <c r="D20" s="87" t="inlineStr">
        <is>
          <t>Sponsor Equity</t>
        </is>
      </c>
      <c r="E20" s="95">
        <f>E15-SUM(E17:E19)</f>
        <v/>
      </c>
      <c r="F20" s="110" t="inlineStr">
        <is>
          <t>Sponsor equity is the residual source after term debt, revolver, and acquired target cash.</t>
        </is>
      </c>
    </row>
    <row r="21" ht="15" customHeight="1" s="74">
      <c r="A21" s="126" t="inlineStr">
        <is>
          <t>Total Sources</t>
        </is>
      </c>
      <c r="B21" s="127">
        <f>SUM(B17:B20)</f>
        <v/>
      </c>
      <c r="D21" s="126" t="inlineStr">
        <is>
          <t>Total Sources</t>
        </is>
      </c>
      <c r="E21" s="127">
        <f>SUM(E17:E20)</f>
        <v/>
      </c>
    </row>
    <row r="22" ht="26.85" customHeight="1" s="74">
      <c r="A22" s="87" t="inlineStr">
        <is>
          <t>Sources Less Uses</t>
        </is>
      </c>
      <c r="B22" s="95">
        <f>B21-B15</f>
        <v/>
      </c>
      <c r="D22" s="87" t="inlineStr">
        <is>
          <t>Sources Less Uses</t>
        </is>
      </c>
      <c r="E22" s="95">
        <f>E21-E15</f>
        <v/>
      </c>
      <c r="F22" s="110" t="inlineStr">
        <is>
          <t>This must equal zero. A nonzero amount means the transaction does not fund correctly.</t>
        </is>
      </c>
    </row>
  </sheetData>
  <mergeCells count="4">
    <mergeCell ref="A1:F1"/>
    <mergeCell ref="A2:F2"/>
    <mergeCell ref="D16:E16"/>
    <mergeCell ref="A16:B16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filterMode="0">
    <tabColor rgb="FF1F4E78"/>
    <outlinePr summaryBelow="1" summaryRight="1"/>
    <pageSetUpPr fitToPage="1"/>
  </sheetPr>
  <dimension ref="A1:L18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0" customWidth="1" style="73" min="1" max="1"/>
    <col width="15" customWidth="1" style="73" min="2" max="6"/>
    <col width="30" customWidth="1" style="73" min="7" max="7"/>
    <col width="15" customWidth="1" style="73" min="8" max="12"/>
  </cols>
  <sheetData>
    <row r="1" ht="27" customHeight="1" s="74">
      <c r="A1" s="75" t="inlineStr">
        <is>
          <t>Step II. Forecast Operations and Cash Available for Debt Repayment</t>
        </is>
      </c>
    </row>
    <row r="2" ht="25.5" customHeight="1" s="74">
      <c r="A2" s="76" t="inlineStr">
        <is>
          <t>Fiscal years run left to right. The AI Valuation and Student Template use identical formulas but separate driver assumptions; this schedule calculates pre-interest operating cash flow before the debt schedule adds interest and cash taxes.</t>
        </is>
      </c>
    </row>
    <row r="3" ht="18" customHeight="1" s="74">
      <c r="A3" s="77" t="inlineStr">
        <is>
          <t>AI Valuation</t>
        </is>
      </c>
      <c r="G3" s="77" t="inlineStr">
        <is>
          <t>Student Template</t>
        </is>
      </c>
    </row>
    <row r="4" ht="15" customHeight="1" s="74">
      <c r="G4" s="79" t="inlineStr">
        <is>
          <t>Student Fiscal Period</t>
        </is>
      </c>
      <c r="H4" s="128" t="n">
        <v>43100</v>
      </c>
      <c r="I4" s="128" t="n">
        <v>43465</v>
      </c>
      <c r="J4" s="128" t="n">
        <v>43830</v>
      </c>
      <c r="K4" s="128" t="n">
        <v>44196</v>
      </c>
      <c r="L4" s="128" t="n">
        <v>44561</v>
      </c>
    </row>
    <row r="5" ht="15" customHeight="1" s="74">
      <c r="A5" s="79" t="inlineStr">
        <is>
          <t>Fiscal Period</t>
        </is>
      </c>
      <c r="B5" s="128" t="n">
        <v>43100</v>
      </c>
      <c r="C5" s="128" t="n">
        <v>43465</v>
      </c>
      <c r="D5" s="128" t="n">
        <v>43830</v>
      </c>
      <c r="E5" s="128" t="n">
        <v>44196</v>
      </c>
      <c r="F5" s="128" t="n">
        <v>44561</v>
      </c>
      <c r="G5" s="79" t="inlineStr">
        <is>
          <t>Fiscal Period</t>
        </is>
      </c>
    </row>
    <row r="6" ht="15" customHeight="1" s="74">
      <c r="A6" s="79" t="inlineStr">
        <is>
          <t>Revenue Growth</t>
        </is>
      </c>
      <c r="B6" s="129">
        <f>Assumptions!B27</f>
        <v/>
      </c>
      <c r="C6" s="129">
        <f>Assumptions!C27</f>
        <v/>
      </c>
      <c r="D6" s="129">
        <f>Assumptions!D27</f>
        <v/>
      </c>
      <c r="E6" s="129">
        <f>Assumptions!E27</f>
        <v/>
      </c>
      <c r="F6" s="129">
        <f>Assumptions!F27</f>
        <v/>
      </c>
      <c r="G6" s="79" t="inlineStr">
        <is>
          <t>Revenue Growth</t>
        </is>
      </c>
      <c r="H6" s="129">
        <f>Assumptions!B37</f>
        <v/>
      </c>
      <c r="I6" s="129">
        <f>Assumptions!C37</f>
        <v/>
      </c>
      <c r="J6" s="129">
        <f>Assumptions!D37</f>
        <v/>
      </c>
      <c r="K6" s="129">
        <f>Assumptions!E37</f>
        <v/>
      </c>
      <c r="L6" s="129">
        <f>Assumptions!F37</f>
        <v/>
      </c>
    </row>
    <row r="7" ht="15" customHeight="1" s="74">
      <c r="A7" s="79" t="inlineStr">
        <is>
          <t>Revenue</t>
        </is>
      </c>
      <c r="B7" s="124">
        <f>'Source Data'!F6*(1+B6)</f>
        <v/>
      </c>
      <c r="C7" s="109">
        <f>B7*(1+C6)</f>
        <v/>
      </c>
      <c r="D7" s="109">
        <f>C7*(1+D6)</f>
        <v/>
      </c>
      <c r="E7" s="109">
        <f>D7*(1+E6)</f>
        <v/>
      </c>
      <c r="F7" s="109">
        <f>E7*(1+F6)</f>
        <v/>
      </c>
      <c r="G7" s="79" t="inlineStr">
        <is>
          <t>Revenue</t>
        </is>
      </c>
      <c r="H7" s="124">
        <f>'Source Data'!F6*(1+H6)</f>
        <v/>
      </c>
      <c r="I7" s="109">
        <f>H7*(1+I6)</f>
        <v/>
      </c>
      <c r="J7" s="109">
        <f>I7*(1+J6)</f>
        <v/>
      </c>
      <c r="K7" s="109">
        <f>J7*(1+K6)</f>
        <v/>
      </c>
      <c r="L7" s="109">
        <f>K7*(1+L6)</f>
        <v/>
      </c>
    </row>
    <row r="8" ht="15" customHeight="1" s="74">
      <c r="A8" s="79" t="inlineStr">
        <is>
          <t>EBITDA Margin</t>
        </is>
      </c>
      <c r="B8" s="129">
        <f>Assumptions!B28</f>
        <v/>
      </c>
      <c r="C8" s="129">
        <f>Assumptions!C28</f>
        <v/>
      </c>
      <c r="D8" s="129">
        <f>Assumptions!D28</f>
        <v/>
      </c>
      <c r="E8" s="129">
        <f>Assumptions!E28</f>
        <v/>
      </c>
      <c r="F8" s="129">
        <f>Assumptions!F28</f>
        <v/>
      </c>
      <c r="G8" s="79" t="inlineStr">
        <is>
          <t>EBITDA Margin</t>
        </is>
      </c>
      <c r="H8" s="129">
        <f>Assumptions!B38</f>
        <v/>
      </c>
      <c r="I8" s="129">
        <f>Assumptions!C38</f>
        <v/>
      </c>
      <c r="J8" s="129">
        <f>Assumptions!D38</f>
        <v/>
      </c>
      <c r="K8" s="129">
        <f>Assumptions!E38</f>
        <v/>
      </c>
      <c r="L8" s="129">
        <f>Assumptions!F38</f>
        <v/>
      </c>
    </row>
    <row r="9" ht="15" customHeight="1" s="74">
      <c r="A9" s="126" t="inlineStr">
        <is>
          <t>EBITDA</t>
        </is>
      </c>
      <c r="B9" s="127">
        <f>B7*B8</f>
        <v/>
      </c>
      <c r="C9" s="127">
        <f>C7*C8</f>
        <v/>
      </c>
      <c r="D9" s="127">
        <f>D7*D8</f>
        <v/>
      </c>
      <c r="E9" s="127">
        <f>E7*E8</f>
        <v/>
      </c>
      <c r="F9" s="127">
        <f>F7*F8</f>
        <v/>
      </c>
      <c r="G9" s="126" t="inlineStr">
        <is>
          <t>EBITDA</t>
        </is>
      </c>
      <c r="H9" s="127">
        <f>H7*H8</f>
        <v/>
      </c>
      <c r="I9" s="127">
        <f>I7*I8</f>
        <v/>
      </c>
      <c r="J9" s="127">
        <f>J7*J8</f>
        <v/>
      </c>
      <c r="K9" s="127">
        <f>K7*K8</f>
        <v/>
      </c>
      <c r="L9" s="127">
        <f>L7*L8</f>
        <v/>
      </c>
    </row>
    <row r="10" ht="15" customHeight="1" s="74">
      <c r="A10" s="79" t="inlineStr">
        <is>
          <t>D&amp;A as % Revenue</t>
        </is>
      </c>
      <c r="B10" s="129">
        <f>Assumptions!B29</f>
        <v/>
      </c>
      <c r="C10" s="129">
        <f>Assumptions!C29</f>
        <v/>
      </c>
      <c r="D10" s="129">
        <f>Assumptions!D29</f>
        <v/>
      </c>
      <c r="E10" s="129">
        <f>Assumptions!E29</f>
        <v/>
      </c>
      <c r="F10" s="129">
        <f>Assumptions!F29</f>
        <v/>
      </c>
      <c r="G10" s="79" t="inlineStr">
        <is>
          <t>D&amp;A as % Revenue</t>
        </is>
      </c>
      <c r="H10" s="129">
        <f>Assumptions!B39</f>
        <v/>
      </c>
      <c r="I10" s="129">
        <f>Assumptions!C39</f>
        <v/>
      </c>
      <c r="J10" s="129">
        <f>Assumptions!D39</f>
        <v/>
      </c>
      <c r="K10" s="129">
        <f>Assumptions!E39</f>
        <v/>
      </c>
      <c r="L10" s="129">
        <f>Assumptions!F39</f>
        <v/>
      </c>
    </row>
    <row r="11" ht="15" customHeight="1" s="74">
      <c r="A11" s="79" t="inlineStr">
        <is>
          <t>D&amp;A</t>
        </is>
      </c>
      <c r="B11" s="109">
        <f>B7*B10</f>
        <v/>
      </c>
      <c r="C11" s="109">
        <f>C7*C10</f>
        <v/>
      </c>
      <c r="D11" s="109">
        <f>D7*D10</f>
        <v/>
      </c>
      <c r="E11" s="109">
        <f>E7*E10</f>
        <v/>
      </c>
      <c r="F11" s="109">
        <f>F7*F10</f>
        <v/>
      </c>
      <c r="G11" s="79" t="inlineStr">
        <is>
          <t>D&amp;A</t>
        </is>
      </c>
      <c r="H11" s="109">
        <f>H7*H10</f>
        <v/>
      </c>
      <c r="I11" s="109">
        <f>I7*I10</f>
        <v/>
      </c>
      <c r="J11" s="109">
        <f>J7*J10</f>
        <v/>
      </c>
      <c r="K11" s="109">
        <f>K7*K10</f>
        <v/>
      </c>
      <c r="L11" s="109">
        <f>L7*L10</f>
        <v/>
      </c>
    </row>
    <row r="12" ht="15" customHeight="1" s="74">
      <c r="A12" s="126" t="inlineStr">
        <is>
          <t>EBIT</t>
        </is>
      </c>
      <c r="B12" s="127">
        <f>B9-B11</f>
        <v/>
      </c>
      <c r="C12" s="127">
        <f>C9-C11</f>
        <v/>
      </c>
      <c r="D12" s="127">
        <f>D9-D11</f>
        <v/>
      </c>
      <c r="E12" s="127">
        <f>E9-E11</f>
        <v/>
      </c>
      <c r="F12" s="127">
        <f>F9-F11</f>
        <v/>
      </c>
      <c r="G12" s="126" t="inlineStr">
        <is>
          <t>EBIT</t>
        </is>
      </c>
      <c r="H12" s="127">
        <f>H9-H11</f>
        <v/>
      </c>
      <c r="I12" s="127">
        <f>I9-I11</f>
        <v/>
      </c>
      <c r="J12" s="127">
        <f>J9-J11</f>
        <v/>
      </c>
      <c r="K12" s="127">
        <f>K9-K11</f>
        <v/>
      </c>
      <c r="L12" s="127">
        <f>L9-L11</f>
        <v/>
      </c>
    </row>
    <row r="13" ht="15" customHeight="1" s="74">
      <c r="A13" s="79" t="inlineStr">
        <is>
          <t>CapEx as % Revenue</t>
        </is>
      </c>
      <c r="B13" s="129">
        <f>Assumptions!B31</f>
        <v/>
      </c>
      <c r="C13" s="129">
        <f>Assumptions!C31</f>
        <v/>
      </c>
      <c r="D13" s="129">
        <f>Assumptions!D31</f>
        <v/>
      </c>
      <c r="E13" s="129">
        <f>Assumptions!E31</f>
        <v/>
      </c>
      <c r="F13" s="129">
        <f>Assumptions!F31</f>
        <v/>
      </c>
      <c r="G13" s="79" t="inlineStr">
        <is>
          <t>CapEx as % Revenue</t>
        </is>
      </c>
      <c r="H13" s="129">
        <f>Assumptions!B41</f>
        <v/>
      </c>
      <c r="I13" s="129">
        <f>Assumptions!C41</f>
        <v/>
      </c>
      <c r="J13" s="129">
        <f>Assumptions!D41</f>
        <v/>
      </c>
      <c r="K13" s="129">
        <f>Assumptions!E41</f>
        <v/>
      </c>
      <c r="L13" s="129">
        <f>Assumptions!F41</f>
        <v/>
      </c>
    </row>
    <row r="14" ht="15" customHeight="1" s="74">
      <c r="A14" s="79" t="inlineStr">
        <is>
          <t>Capital Expenditures</t>
        </is>
      </c>
      <c r="B14" s="109">
        <f>B7*B13</f>
        <v/>
      </c>
      <c r="C14" s="109">
        <f>C7*C13</f>
        <v/>
      </c>
      <c r="D14" s="109">
        <f>D7*D13</f>
        <v/>
      </c>
      <c r="E14" s="109">
        <f>E7*E13</f>
        <v/>
      </c>
      <c r="F14" s="109">
        <f>F7*F13</f>
        <v/>
      </c>
      <c r="G14" s="79" t="inlineStr">
        <is>
          <t>Capital Expenditures</t>
        </is>
      </c>
      <c r="H14" s="109">
        <f>H7*H13</f>
        <v/>
      </c>
      <c r="I14" s="109">
        <f>I7*I13</f>
        <v/>
      </c>
      <c r="J14" s="109">
        <f>J7*J13</f>
        <v/>
      </c>
      <c r="K14" s="109">
        <f>K7*K13</f>
        <v/>
      </c>
      <c r="L14" s="109">
        <f>L7*L13</f>
        <v/>
      </c>
    </row>
    <row r="15" ht="15" customHeight="1" s="74">
      <c r="A15" s="79" t="inlineStr">
        <is>
          <t>Change in NWC as % Revenue</t>
        </is>
      </c>
      <c r="B15" s="129">
        <f>Assumptions!B32</f>
        <v/>
      </c>
      <c r="C15" s="129">
        <f>Assumptions!C32</f>
        <v/>
      </c>
      <c r="D15" s="129">
        <f>Assumptions!D32</f>
        <v/>
      </c>
      <c r="E15" s="129">
        <f>Assumptions!E32</f>
        <v/>
      </c>
      <c r="F15" s="129">
        <f>Assumptions!F32</f>
        <v/>
      </c>
      <c r="G15" s="79" t="inlineStr">
        <is>
          <t>Change in NWC as % Revenue</t>
        </is>
      </c>
      <c r="H15" s="129">
        <f>Assumptions!B42</f>
        <v/>
      </c>
      <c r="I15" s="129">
        <f>Assumptions!C42</f>
        <v/>
      </c>
      <c r="J15" s="129">
        <f>Assumptions!D42</f>
        <v/>
      </c>
      <c r="K15" s="129">
        <f>Assumptions!E42</f>
        <v/>
      </c>
      <c r="L15" s="129">
        <f>Assumptions!F42</f>
        <v/>
      </c>
    </row>
    <row r="16" ht="15" customHeight="1" s="74">
      <c r="A16" s="79" t="inlineStr">
        <is>
          <t>Change in Working Capital</t>
        </is>
      </c>
      <c r="B16" s="109">
        <f>B7*B15</f>
        <v/>
      </c>
      <c r="C16" s="109">
        <f>C7*C15</f>
        <v/>
      </c>
      <c r="D16" s="109">
        <f>D7*D15</f>
        <v/>
      </c>
      <c r="E16" s="109">
        <f>E7*E15</f>
        <v/>
      </c>
      <c r="F16" s="109">
        <f>F7*F15</f>
        <v/>
      </c>
      <c r="G16" s="79" t="inlineStr">
        <is>
          <t>Change in Working Capital</t>
        </is>
      </c>
      <c r="H16" s="109">
        <f>H7*H15</f>
        <v/>
      </c>
      <c r="I16" s="109">
        <f>I7*I15</f>
        <v/>
      </c>
      <c r="J16" s="109">
        <f>J7*J15</f>
        <v/>
      </c>
      <c r="K16" s="109">
        <f>K7*K15</f>
        <v/>
      </c>
      <c r="L16" s="109">
        <f>L7*L15</f>
        <v/>
      </c>
    </row>
    <row r="17" ht="15" customHeight="1" s="74">
      <c r="A17" s="79" t="inlineStr">
        <is>
          <t>Cash Tax Rate</t>
        </is>
      </c>
      <c r="B17" s="129">
        <f>Assumptions!B30</f>
        <v/>
      </c>
      <c r="C17" s="129">
        <f>Assumptions!C30</f>
        <v/>
      </c>
      <c r="D17" s="129">
        <f>Assumptions!D30</f>
        <v/>
      </c>
      <c r="E17" s="129">
        <f>Assumptions!E30</f>
        <v/>
      </c>
      <c r="F17" s="129">
        <f>Assumptions!F30</f>
        <v/>
      </c>
      <c r="G17" s="79" t="inlineStr">
        <is>
          <t>Cash Tax Rate</t>
        </is>
      </c>
      <c r="H17" s="129">
        <f>Assumptions!B40</f>
        <v/>
      </c>
      <c r="I17" s="129">
        <f>Assumptions!C40</f>
        <v/>
      </c>
      <c r="J17" s="129">
        <f>Assumptions!D40</f>
        <v/>
      </c>
      <c r="K17" s="129">
        <f>Assumptions!E40</f>
        <v/>
      </c>
      <c r="L17" s="129">
        <f>Assumptions!F40</f>
        <v/>
      </c>
    </row>
    <row r="18" ht="15" customHeight="1" s="74">
      <c r="A18" s="87" t="inlineStr">
        <is>
          <t>Pre-Interest Cash Flow</t>
        </is>
      </c>
      <c r="B18" s="95">
        <f>B9-B14-B16</f>
        <v/>
      </c>
      <c r="C18" s="95">
        <f>C9-C14-C16</f>
        <v/>
      </c>
      <c r="D18" s="95">
        <f>D9-D14-D16</f>
        <v/>
      </c>
      <c r="E18" s="95">
        <f>E9-E14-E16</f>
        <v/>
      </c>
      <c r="F18" s="95">
        <f>F9-F14-F16</f>
        <v/>
      </c>
      <c r="G18" s="87" t="inlineStr">
        <is>
          <t>Pre-Interest Cash Flow</t>
        </is>
      </c>
      <c r="H18" s="95">
        <f>H9-H14-H16</f>
        <v/>
      </c>
      <c r="I18" s="95">
        <f>I9-I14-I16</f>
        <v/>
      </c>
      <c r="J18" s="95">
        <f>J9-J14-J16</f>
        <v/>
      </c>
      <c r="K18" s="95">
        <f>K9-K14-K16</f>
        <v/>
      </c>
      <c r="L18" s="95">
        <f>L9-L14-L16</f>
        <v/>
      </c>
    </row>
  </sheetData>
  <mergeCells count="4">
    <mergeCell ref="A3:F3"/>
    <mergeCell ref="A2:L2"/>
    <mergeCell ref="G3:L3"/>
    <mergeCell ref="A1:L1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filterMode="0">
    <tabColor rgb="FF1F4E78"/>
    <outlinePr summaryBelow="1" summaryRight="1"/>
    <pageSetUpPr fitToPage="1"/>
  </sheetPr>
  <dimension ref="A1:L32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8" customWidth="1" style="73" min="1" max="1"/>
    <col width="15" customWidth="1" style="73" min="2" max="6"/>
    <col width="38" customWidth="1" style="73" min="7" max="7"/>
    <col width="15" customWidth="1" style="73" min="8" max="12"/>
  </cols>
  <sheetData>
    <row r="1" ht="27" customHeight="1" s="74">
      <c r="A1" s="75" t="inlineStr">
        <is>
          <t>Step III. Build the Debt, Interest, and Cash-Sweep Schedule</t>
        </is>
      </c>
    </row>
    <row r="2" ht="25.5" customHeight="1" s="74">
      <c r="A2" s="76" t="inlineStr">
        <is>
          <t>Interest uses beginning-of-year balances, which avoids circular calculations. Liquidity first supports the minimum cash balance and mandatory amortization; the excess-cash sweep then repays revolver before term debt.</t>
        </is>
      </c>
    </row>
    <row r="3" ht="18" customHeight="1" s="74">
      <c r="A3" s="77" t="inlineStr">
        <is>
          <t>AI Valuation</t>
        </is>
      </c>
      <c r="G3" s="77" t="inlineStr">
        <is>
          <t>Student Template</t>
        </is>
      </c>
    </row>
    <row r="4" ht="15" customHeight="1" s="74">
      <c r="G4" s="79" t="inlineStr">
        <is>
          <t>Student Fiscal Period</t>
        </is>
      </c>
      <c r="H4" s="128" t="n">
        <v>43100</v>
      </c>
      <c r="I4" s="128" t="n">
        <v>43465</v>
      </c>
      <c r="J4" s="128" t="n">
        <v>43830</v>
      </c>
      <c r="K4" s="128" t="n">
        <v>44196</v>
      </c>
      <c r="L4" s="128" t="n">
        <v>44561</v>
      </c>
    </row>
    <row r="5" ht="15" customHeight="1" s="74">
      <c r="A5" s="79" t="inlineStr">
        <is>
          <t>Fiscal Period</t>
        </is>
      </c>
      <c r="B5" s="128" t="n">
        <v>43100</v>
      </c>
      <c r="C5" s="128" t="n">
        <v>43465</v>
      </c>
      <c r="D5" s="128" t="n">
        <v>43830</v>
      </c>
      <c r="E5" s="128" t="n">
        <v>44196</v>
      </c>
      <c r="F5" s="128" t="n">
        <v>44561</v>
      </c>
      <c r="G5" s="79" t="inlineStr">
        <is>
          <t>Fiscal Period</t>
        </is>
      </c>
    </row>
    <row r="6" ht="15" customHeight="1" s="74">
      <c r="A6" s="79" t="inlineStr">
        <is>
          <t>Beginning Cash</t>
        </is>
      </c>
      <c r="B6" s="124">
        <f>'Sources &amp; Uses'!B14</f>
        <v/>
      </c>
      <c r="C6" s="109">
        <f>B27</f>
        <v/>
      </c>
      <c r="D6" s="109">
        <f>C27</f>
        <v/>
      </c>
      <c r="E6" s="109">
        <f>D27</f>
        <v/>
      </c>
      <c r="F6" s="109">
        <f>E27</f>
        <v/>
      </c>
      <c r="G6" s="79" t="inlineStr">
        <is>
          <t>Beginning Cash</t>
        </is>
      </c>
      <c r="H6" s="124">
        <f>'Sources &amp; Uses'!E14</f>
        <v/>
      </c>
      <c r="I6" s="109">
        <f>H27</f>
        <v/>
      </c>
      <c r="J6" s="109">
        <f>I27</f>
        <v/>
      </c>
      <c r="K6" s="109">
        <f>J27</f>
        <v/>
      </c>
      <c r="L6" s="109">
        <f>K27</f>
        <v/>
      </c>
    </row>
    <row r="7" ht="15" customHeight="1" s="74">
      <c r="A7" s="79" t="inlineStr">
        <is>
          <t>Beginning Term Loan</t>
        </is>
      </c>
      <c r="B7" s="124">
        <f>'Sources &amp; Uses'!B17</f>
        <v/>
      </c>
      <c r="C7" s="109">
        <f>B28</f>
        <v/>
      </c>
      <c r="D7" s="109">
        <f>C28</f>
        <v/>
      </c>
      <c r="E7" s="109">
        <f>D28</f>
        <v/>
      </c>
      <c r="F7" s="109">
        <f>E28</f>
        <v/>
      </c>
      <c r="G7" s="79" t="inlineStr">
        <is>
          <t>Beginning Term Loan</t>
        </is>
      </c>
      <c r="H7" s="124">
        <f>'Sources &amp; Uses'!E17</f>
        <v/>
      </c>
      <c r="I7" s="109">
        <f>H28</f>
        <v/>
      </c>
      <c r="J7" s="109">
        <f>I28</f>
        <v/>
      </c>
      <c r="K7" s="109">
        <f>J28</f>
        <v/>
      </c>
      <c r="L7" s="109">
        <f>K28</f>
        <v/>
      </c>
    </row>
    <row r="8" ht="15" customHeight="1" s="74">
      <c r="A8" s="79" t="inlineStr">
        <is>
          <t>Beginning Revolver</t>
        </is>
      </c>
      <c r="B8" s="124">
        <f>'Sources &amp; Uses'!B18</f>
        <v/>
      </c>
      <c r="C8" s="109">
        <f>B29</f>
        <v/>
      </c>
      <c r="D8" s="109">
        <f>C29</f>
        <v/>
      </c>
      <c r="E8" s="109">
        <f>D29</f>
        <v/>
      </c>
      <c r="F8" s="109">
        <f>E29</f>
        <v/>
      </c>
      <c r="G8" s="79" t="inlineStr">
        <is>
          <t>Beginning Revolver</t>
        </is>
      </c>
      <c r="H8" s="124">
        <f>'Sources &amp; Uses'!E18</f>
        <v/>
      </c>
      <c r="I8" s="109">
        <f>H29</f>
        <v/>
      </c>
      <c r="J8" s="109">
        <f>I29</f>
        <v/>
      </c>
      <c r="K8" s="109">
        <f>J29</f>
        <v/>
      </c>
      <c r="L8" s="109">
        <f>K29</f>
        <v/>
      </c>
    </row>
    <row r="9" ht="15" customHeight="1" s="74">
      <c r="A9" s="79" t="inlineStr">
        <is>
          <t>Cash Interest</t>
        </is>
      </c>
      <c r="B9" s="124">
        <f>B7*Assumptions!B15+B8*Assumptions!B16</f>
        <v/>
      </c>
      <c r="C9" s="124">
        <f>C7*Assumptions!B15+C8*Assumptions!B16</f>
        <v/>
      </c>
      <c r="D9" s="124">
        <f>D7*Assumptions!B15+D8*Assumptions!B16</f>
        <v/>
      </c>
      <c r="E9" s="124">
        <f>E7*Assumptions!B15+E8*Assumptions!B16</f>
        <v/>
      </c>
      <c r="F9" s="124">
        <f>F7*Assumptions!B15+F8*Assumptions!B16</f>
        <v/>
      </c>
      <c r="G9" s="79" t="inlineStr">
        <is>
          <t>Cash Interest</t>
        </is>
      </c>
      <c r="H9" s="124">
        <f>H7*Assumptions!C15+H8*Assumptions!C16</f>
        <v/>
      </c>
      <c r="I9" s="124">
        <f>I7*Assumptions!C15+I8*Assumptions!C16</f>
        <v/>
      </c>
      <c r="J9" s="124">
        <f>J7*Assumptions!C15+J8*Assumptions!C16</f>
        <v/>
      </c>
      <c r="K9" s="124">
        <f>K7*Assumptions!C15+K8*Assumptions!C16</f>
        <v/>
      </c>
      <c r="L9" s="124">
        <f>L7*Assumptions!C15+L8*Assumptions!C16</f>
        <v/>
      </c>
    </row>
    <row r="10" ht="15" customHeight="1" s="74">
      <c r="A10" s="79" t="inlineStr">
        <is>
          <t>EBIT</t>
        </is>
      </c>
      <c r="B10" s="124">
        <f>'Operating Forecast'!B12</f>
        <v/>
      </c>
      <c r="C10" s="124">
        <f>'Operating Forecast'!C12</f>
        <v/>
      </c>
      <c r="D10" s="124">
        <f>'Operating Forecast'!D12</f>
        <v/>
      </c>
      <c r="E10" s="124">
        <f>'Operating Forecast'!E12</f>
        <v/>
      </c>
      <c r="F10" s="124">
        <f>'Operating Forecast'!F12</f>
        <v/>
      </c>
      <c r="G10" s="79" t="inlineStr">
        <is>
          <t>EBIT</t>
        </is>
      </c>
      <c r="H10" s="124">
        <f>'Operating Forecast'!H12</f>
        <v/>
      </c>
      <c r="I10" s="124">
        <f>'Operating Forecast'!I12</f>
        <v/>
      </c>
      <c r="J10" s="124">
        <f>'Operating Forecast'!J12</f>
        <v/>
      </c>
      <c r="K10" s="124">
        <f>'Operating Forecast'!K12</f>
        <v/>
      </c>
      <c r="L10" s="124">
        <f>'Operating Forecast'!L12</f>
        <v/>
      </c>
    </row>
    <row r="11" ht="15" customHeight="1" s="74">
      <c r="A11" s="79" t="inlineStr">
        <is>
          <t>Pretax Income</t>
        </is>
      </c>
      <c r="B11" s="109">
        <f>B10-B9</f>
        <v/>
      </c>
      <c r="C11" s="109">
        <f>C10-C9</f>
        <v/>
      </c>
      <c r="D11" s="109">
        <f>D10-D9</f>
        <v/>
      </c>
      <c r="E11" s="109">
        <f>E10-E9</f>
        <v/>
      </c>
      <c r="F11" s="109">
        <f>F10-F9</f>
        <v/>
      </c>
      <c r="G11" s="79" t="inlineStr">
        <is>
          <t>Pretax Income</t>
        </is>
      </c>
      <c r="H11" s="109">
        <f>H10-H9</f>
        <v/>
      </c>
      <c r="I11" s="109">
        <f>I10-I9</f>
        <v/>
      </c>
      <c r="J11" s="109">
        <f>J10-J9</f>
        <v/>
      </c>
      <c r="K11" s="109">
        <f>K10-K9</f>
        <v/>
      </c>
      <c r="L11" s="109">
        <f>L10-L9</f>
        <v/>
      </c>
    </row>
    <row r="12" ht="15" customHeight="1" s="74">
      <c r="A12" s="79" t="inlineStr">
        <is>
          <t>Cash Taxes</t>
        </is>
      </c>
      <c r="B12" s="124">
        <f>MAX(0,B11)*'Operating Forecast'!B17</f>
        <v/>
      </c>
      <c r="C12" s="124">
        <f>MAX(0,C11)*'Operating Forecast'!C17</f>
        <v/>
      </c>
      <c r="D12" s="124">
        <f>MAX(0,D11)*'Operating Forecast'!D17</f>
        <v/>
      </c>
      <c r="E12" s="124">
        <f>MAX(0,E11)*'Operating Forecast'!E17</f>
        <v/>
      </c>
      <c r="F12" s="124">
        <f>MAX(0,F11)*'Operating Forecast'!F17</f>
        <v/>
      </c>
      <c r="G12" s="79" t="inlineStr">
        <is>
          <t>Cash Taxes</t>
        </is>
      </c>
      <c r="H12" s="124">
        <f>MAX(0,H11)*'Operating Forecast'!H17</f>
        <v/>
      </c>
      <c r="I12" s="124">
        <f>MAX(0,I11)*'Operating Forecast'!I17</f>
        <v/>
      </c>
      <c r="J12" s="124">
        <f>MAX(0,J11)*'Operating Forecast'!J17</f>
        <v/>
      </c>
      <c r="K12" s="124">
        <f>MAX(0,K11)*'Operating Forecast'!K17</f>
        <v/>
      </c>
      <c r="L12" s="124">
        <f>MAX(0,L11)*'Operating Forecast'!L17</f>
        <v/>
      </c>
    </row>
    <row r="13" ht="15" customHeight="1" s="74">
      <c r="A13" s="79" t="inlineStr">
        <is>
          <t>CFADS Before Interest</t>
        </is>
      </c>
      <c r="B13" s="124">
        <f>'Operating Forecast'!B9-B12-'Operating Forecast'!B14-'Operating Forecast'!B16</f>
        <v/>
      </c>
      <c r="C13" s="124">
        <f>'Operating Forecast'!C9-C12-'Operating Forecast'!C14-'Operating Forecast'!C16</f>
        <v/>
      </c>
      <c r="D13" s="124">
        <f>'Operating Forecast'!D9-D12-'Operating Forecast'!D14-'Operating Forecast'!D16</f>
        <v/>
      </c>
      <c r="E13" s="124">
        <f>'Operating Forecast'!E9-E12-'Operating Forecast'!E14-'Operating Forecast'!E16</f>
        <v/>
      </c>
      <c r="F13" s="124">
        <f>'Operating Forecast'!F9-F12-'Operating Forecast'!F14-'Operating Forecast'!F16</f>
        <v/>
      </c>
      <c r="G13" s="79" t="inlineStr">
        <is>
          <t>CFADS Before Interest</t>
        </is>
      </c>
      <c r="H13" s="124">
        <f>'Operating Forecast'!H9-H12-'Operating Forecast'!H14-'Operating Forecast'!H16</f>
        <v/>
      </c>
      <c r="I13" s="124">
        <f>'Operating Forecast'!I9-I12-'Operating Forecast'!I14-'Operating Forecast'!I16</f>
        <v/>
      </c>
      <c r="J13" s="124">
        <f>'Operating Forecast'!J9-J12-'Operating Forecast'!J14-'Operating Forecast'!J16</f>
        <v/>
      </c>
      <c r="K13" s="124">
        <f>'Operating Forecast'!K9-K12-'Operating Forecast'!K14-'Operating Forecast'!K16</f>
        <v/>
      </c>
      <c r="L13" s="124">
        <f>'Operating Forecast'!L9-L12-'Operating Forecast'!L14-'Operating Forecast'!L16</f>
        <v/>
      </c>
    </row>
    <row r="14" ht="15" customHeight="1" s="74">
      <c r="A14" s="126" t="inlineStr">
        <is>
          <t>Cash Flow After Interest</t>
        </is>
      </c>
      <c r="B14" s="127">
        <f>B13-B9</f>
        <v/>
      </c>
      <c r="C14" s="127">
        <f>C13-C9</f>
        <v/>
      </c>
      <c r="D14" s="127">
        <f>D13-D9</f>
        <v/>
      </c>
      <c r="E14" s="127">
        <f>E13-E9</f>
        <v/>
      </c>
      <c r="F14" s="127">
        <f>F13-F9</f>
        <v/>
      </c>
      <c r="G14" s="126" t="inlineStr">
        <is>
          <t>Cash Flow After Interest</t>
        </is>
      </c>
      <c r="H14" s="127">
        <f>H13-H9</f>
        <v/>
      </c>
      <c r="I14" s="127">
        <f>I13-I9</f>
        <v/>
      </c>
      <c r="J14" s="127">
        <f>J13-J9</f>
        <v/>
      </c>
      <c r="K14" s="127">
        <f>K13-K9</f>
        <v/>
      </c>
      <c r="L14" s="127">
        <f>L13-L9</f>
        <v/>
      </c>
    </row>
    <row r="15" ht="15" customHeight="1" s="74">
      <c r="A15" s="79" t="inlineStr">
        <is>
          <t>Pre-Debt Cash</t>
        </is>
      </c>
      <c r="B15" s="109">
        <f>B6+B14</f>
        <v/>
      </c>
      <c r="C15" s="109">
        <f>C6+C14</f>
        <v/>
      </c>
      <c r="D15" s="109">
        <f>D6+D14</f>
        <v/>
      </c>
      <c r="E15" s="109">
        <f>E6+E14</f>
        <v/>
      </c>
      <c r="F15" s="109">
        <f>F6+F14</f>
        <v/>
      </c>
      <c r="G15" s="79" t="inlineStr">
        <is>
          <t>Pre-Debt Cash</t>
        </is>
      </c>
      <c r="H15" s="109">
        <f>H6+H14</f>
        <v/>
      </c>
      <c r="I15" s="109">
        <f>I6+I14</f>
        <v/>
      </c>
      <c r="J15" s="109">
        <f>J6+J14</f>
        <v/>
      </c>
      <c r="K15" s="109">
        <f>K6+K14</f>
        <v/>
      </c>
      <c r="L15" s="109">
        <f>L6+L14</f>
        <v/>
      </c>
    </row>
    <row r="16" ht="15" customHeight="1" s="74">
      <c r="A16" s="79" t="inlineStr">
        <is>
          <t>Scheduled Mandatory Amortization</t>
        </is>
      </c>
      <c r="B16" s="124">
        <f>MIN(B7,'Sources &amp; Uses'!B$17*Assumptions!B$17)</f>
        <v/>
      </c>
      <c r="C16" s="124">
        <f>MIN(C7,'Sources &amp; Uses'!B$17*Assumptions!B$17)</f>
        <v/>
      </c>
      <c r="D16" s="124">
        <f>MIN(D7,'Sources &amp; Uses'!B$17*Assumptions!B$17)</f>
        <v/>
      </c>
      <c r="E16" s="124">
        <f>MIN(E7,'Sources &amp; Uses'!B$17*Assumptions!B$17)</f>
        <v/>
      </c>
      <c r="F16" s="124">
        <f>MIN(F7,'Sources &amp; Uses'!B$17*Assumptions!B$17)</f>
        <v/>
      </c>
      <c r="G16" s="79" t="inlineStr">
        <is>
          <t>Scheduled Mandatory Amortization</t>
        </is>
      </c>
      <c r="H16" s="124">
        <f>MIN(H7,'Sources &amp; Uses'!E$17*Assumptions!C$17)</f>
        <v/>
      </c>
      <c r="I16" s="124">
        <f>MIN(I7,'Sources &amp; Uses'!E$17*Assumptions!C$17)</f>
        <v/>
      </c>
      <c r="J16" s="124">
        <f>MIN(J7,'Sources &amp; Uses'!E$17*Assumptions!C$17)</f>
        <v/>
      </c>
      <c r="K16" s="124">
        <f>MIN(K7,'Sources &amp; Uses'!E$17*Assumptions!C$17)</f>
        <v/>
      </c>
      <c r="L16" s="124">
        <f>MIN(L7,'Sources &amp; Uses'!E$17*Assumptions!C$17)</f>
        <v/>
      </c>
    </row>
    <row r="17" ht="15" customHeight="1" s="74">
      <c r="A17" s="79" t="inlineStr">
        <is>
          <t>Required Revolver Draw</t>
        </is>
      </c>
      <c r="B17" s="124">
        <f>MAX(Assumptions!B$9+B16-B15,0)</f>
        <v/>
      </c>
      <c r="C17" s="124">
        <f>MAX(Assumptions!B$9+C16-C15,0)</f>
        <v/>
      </c>
      <c r="D17" s="124">
        <f>MAX(Assumptions!B$9+D16-D15,0)</f>
        <v/>
      </c>
      <c r="E17" s="124">
        <f>MAX(Assumptions!B$9+E16-E15,0)</f>
        <v/>
      </c>
      <c r="F17" s="124">
        <f>MAX(Assumptions!B$9+F16-F15,0)</f>
        <v/>
      </c>
      <c r="G17" s="79" t="inlineStr">
        <is>
          <t>Required Revolver Draw</t>
        </is>
      </c>
      <c r="H17" s="124">
        <f>MAX(Assumptions!C$9+H16-H15,0)</f>
        <v/>
      </c>
      <c r="I17" s="124">
        <f>MAX(Assumptions!C$9+I16-I15,0)</f>
        <v/>
      </c>
      <c r="J17" s="124">
        <f>MAX(Assumptions!C$9+J16-J15,0)</f>
        <v/>
      </c>
      <c r="K17" s="124">
        <f>MAX(Assumptions!C$9+K16-K15,0)</f>
        <v/>
      </c>
      <c r="L17" s="124">
        <f>MAX(Assumptions!C$9+L16-L15,0)</f>
        <v/>
      </c>
    </row>
    <row r="18" ht="15" customHeight="1" s="74">
      <c r="A18" s="79" t="inlineStr">
        <is>
          <t>Actual Revolver Draw</t>
        </is>
      </c>
      <c r="B18" s="124">
        <f>MIN(B17,MAX(0,Assumptions!B$5*Assumptions!B$13-B8))</f>
        <v/>
      </c>
      <c r="C18" s="124">
        <f>MIN(C17,MAX(0,Assumptions!B$5*Assumptions!B$13-C8))</f>
        <v/>
      </c>
      <c r="D18" s="124">
        <f>MIN(D17,MAX(0,Assumptions!B$5*Assumptions!B$13-D8))</f>
        <v/>
      </c>
      <c r="E18" s="124">
        <f>MIN(E17,MAX(0,Assumptions!B$5*Assumptions!B$13-E8))</f>
        <v/>
      </c>
      <c r="F18" s="124">
        <f>MIN(F17,MAX(0,Assumptions!B$5*Assumptions!B$13-F8))</f>
        <v/>
      </c>
      <c r="G18" s="79" t="inlineStr">
        <is>
          <t>Actual Revolver Draw</t>
        </is>
      </c>
      <c r="H18" s="124">
        <f>MIN(H17,MAX(0,Assumptions!C$5*Assumptions!C$13-H8))</f>
        <v/>
      </c>
      <c r="I18" s="124">
        <f>MIN(I17,MAX(0,Assumptions!C$5*Assumptions!C$13-I8))</f>
        <v/>
      </c>
      <c r="J18" s="124">
        <f>MIN(J17,MAX(0,Assumptions!C$5*Assumptions!C$13-J8))</f>
        <v/>
      </c>
      <c r="K18" s="124">
        <f>MIN(K17,MAX(0,Assumptions!C$5*Assumptions!C$13-K8))</f>
        <v/>
      </c>
      <c r="L18" s="124">
        <f>MIN(L17,MAX(0,Assumptions!C$5*Assumptions!C$13-L8))</f>
        <v/>
      </c>
    </row>
    <row r="19" ht="15" customHeight="1" s="74">
      <c r="A19" s="79" t="inlineStr">
        <is>
          <t>Cash Available for Mandatory Amortization</t>
        </is>
      </c>
      <c r="B19" s="124">
        <f>MAX(B15+B18-Assumptions!B$9,0)</f>
        <v/>
      </c>
      <c r="C19" s="124">
        <f>MAX(C15+C18-Assumptions!B$9,0)</f>
        <v/>
      </c>
      <c r="D19" s="124">
        <f>MAX(D15+D18-Assumptions!B$9,0)</f>
        <v/>
      </c>
      <c r="E19" s="124">
        <f>MAX(E15+E18-Assumptions!B$9,0)</f>
        <v/>
      </c>
      <c r="F19" s="124">
        <f>MAX(F15+F18-Assumptions!B$9,0)</f>
        <v/>
      </c>
      <c r="G19" s="79" t="inlineStr">
        <is>
          <t>Cash Available for Mandatory Amortization</t>
        </is>
      </c>
      <c r="H19" s="124">
        <f>MAX(H15+H18-Assumptions!C$9,0)</f>
        <v/>
      </c>
      <c r="I19" s="124">
        <f>MAX(I15+I18-Assumptions!C$9,0)</f>
        <v/>
      </c>
      <c r="J19" s="124">
        <f>MAX(J15+J18-Assumptions!C$9,0)</f>
        <v/>
      </c>
      <c r="K19" s="124">
        <f>MAX(K15+K18-Assumptions!C$9,0)</f>
        <v/>
      </c>
      <c r="L19" s="124">
        <f>MAX(L15+L18-Assumptions!C$9,0)</f>
        <v/>
      </c>
    </row>
    <row r="20" ht="15" customHeight="1" s="74">
      <c r="A20" s="126" t="inlineStr">
        <is>
          <t>Actual Mandatory Amortization</t>
        </is>
      </c>
      <c r="B20" s="127">
        <f>MIN(B16,B19)</f>
        <v/>
      </c>
      <c r="C20" s="127">
        <f>MIN(C16,C19)</f>
        <v/>
      </c>
      <c r="D20" s="127">
        <f>MIN(D16,D19)</f>
        <v/>
      </c>
      <c r="E20" s="127">
        <f>MIN(E16,E19)</f>
        <v/>
      </c>
      <c r="F20" s="127">
        <f>MIN(F16,F19)</f>
        <v/>
      </c>
      <c r="G20" s="126" t="inlineStr">
        <is>
          <t>Actual Mandatory Amortization</t>
        </is>
      </c>
      <c r="H20" s="127">
        <f>MIN(H16,H19)</f>
        <v/>
      </c>
      <c r="I20" s="127">
        <f>MIN(I16,I19)</f>
        <v/>
      </c>
      <c r="J20" s="127">
        <f>MIN(J16,J19)</f>
        <v/>
      </c>
      <c r="K20" s="127">
        <f>MIN(K16,K19)</f>
        <v/>
      </c>
      <c r="L20" s="127">
        <f>MIN(L16,L19)</f>
        <v/>
      </c>
    </row>
    <row r="21" ht="15" customHeight="1" s="74">
      <c r="A21" s="79" t="inlineStr">
        <is>
          <t>Cash After Mandatory Amortization</t>
        </is>
      </c>
      <c r="B21" s="109">
        <f>B15+B18-B20</f>
        <v/>
      </c>
      <c r="C21" s="109">
        <f>C15+C18-C20</f>
        <v/>
      </c>
      <c r="D21" s="109">
        <f>D15+D18-D20</f>
        <v/>
      </c>
      <c r="E21" s="109">
        <f>E15+E18-E20</f>
        <v/>
      </c>
      <c r="F21" s="109">
        <f>F15+F18-F20</f>
        <v/>
      </c>
      <c r="G21" s="79" t="inlineStr">
        <is>
          <t>Cash After Mandatory Amortization</t>
        </is>
      </c>
      <c r="H21" s="109">
        <f>H15+H18-H20</f>
        <v/>
      </c>
      <c r="I21" s="109">
        <f>I15+I18-I20</f>
        <v/>
      </c>
      <c r="J21" s="109">
        <f>J15+J18-J20</f>
        <v/>
      </c>
      <c r="K21" s="109">
        <f>K15+K18-K20</f>
        <v/>
      </c>
      <c r="L21" s="109">
        <f>L15+L18-L20</f>
        <v/>
      </c>
    </row>
    <row r="22" ht="15" customHeight="1" s="74">
      <c r="A22" s="79" t="inlineStr">
        <is>
          <t>Excess Cash</t>
        </is>
      </c>
      <c r="B22" s="124">
        <f>MAX(B21-Assumptions!B$9,0)</f>
        <v/>
      </c>
      <c r="C22" s="124">
        <f>MAX(C21-Assumptions!B$9,0)</f>
        <v/>
      </c>
      <c r="D22" s="124">
        <f>MAX(D21-Assumptions!B$9,0)</f>
        <v/>
      </c>
      <c r="E22" s="124">
        <f>MAX(E21-Assumptions!B$9,0)</f>
        <v/>
      </c>
      <c r="F22" s="124">
        <f>MAX(F21-Assumptions!B$9,0)</f>
        <v/>
      </c>
      <c r="G22" s="79" t="inlineStr">
        <is>
          <t>Excess Cash</t>
        </is>
      </c>
      <c r="H22" s="124">
        <f>MAX(H21-Assumptions!C$9,0)</f>
        <v/>
      </c>
      <c r="I22" s="124">
        <f>MAX(I21-Assumptions!C$9,0)</f>
        <v/>
      </c>
      <c r="J22" s="124">
        <f>MAX(J21-Assumptions!C$9,0)</f>
        <v/>
      </c>
      <c r="K22" s="124">
        <f>MAX(K21-Assumptions!C$9,0)</f>
        <v/>
      </c>
      <c r="L22" s="124">
        <f>MAX(L21-Assumptions!C$9,0)</f>
        <v/>
      </c>
    </row>
    <row r="23" ht="15" customHeight="1" s="74">
      <c r="A23" s="79" t="inlineStr">
        <is>
          <t>Requested Cash Sweep</t>
        </is>
      </c>
      <c r="B23" s="124">
        <f>B22*Assumptions!B$18</f>
        <v/>
      </c>
      <c r="C23" s="124">
        <f>C22*Assumptions!B$18</f>
        <v/>
      </c>
      <c r="D23" s="124">
        <f>D22*Assumptions!B$18</f>
        <v/>
      </c>
      <c r="E23" s="124">
        <f>E22*Assumptions!B$18</f>
        <v/>
      </c>
      <c r="F23" s="124">
        <f>F22*Assumptions!B$18</f>
        <v/>
      </c>
      <c r="G23" s="79" t="inlineStr">
        <is>
          <t>Requested Cash Sweep</t>
        </is>
      </c>
      <c r="H23" s="124">
        <f>H22*Assumptions!C$18</f>
        <v/>
      </c>
      <c r="I23" s="124">
        <f>I22*Assumptions!C$18</f>
        <v/>
      </c>
      <c r="J23" s="124">
        <f>J22*Assumptions!C$18</f>
        <v/>
      </c>
      <c r="K23" s="124">
        <f>K22*Assumptions!C$18</f>
        <v/>
      </c>
      <c r="L23" s="124">
        <f>L22*Assumptions!C$18</f>
        <v/>
      </c>
    </row>
    <row r="24" ht="15" customHeight="1" s="74">
      <c r="A24" s="126" t="inlineStr">
        <is>
          <t>Actual Cash Sweep</t>
        </is>
      </c>
      <c r="B24" s="127">
        <f>MIN(B23,B8+B18+B7-B20)</f>
        <v/>
      </c>
      <c r="C24" s="127">
        <f>MIN(C23,C8+C18+C7-C20)</f>
        <v/>
      </c>
      <c r="D24" s="127">
        <f>MIN(D23,D8+D18+D7-D20)</f>
        <v/>
      </c>
      <c r="E24" s="127">
        <f>MIN(E23,E8+E18+E7-E20)</f>
        <v/>
      </c>
      <c r="F24" s="127">
        <f>MIN(F23,F8+F18+F7-F20)</f>
        <v/>
      </c>
      <c r="G24" s="126" t="inlineStr">
        <is>
          <t>Actual Cash Sweep</t>
        </is>
      </c>
      <c r="H24" s="127">
        <f>MIN(H23,H8+H18+H7-H20)</f>
        <v/>
      </c>
      <c r="I24" s="127">
        <f>MIN(I23,I8+I18+I7-I20)</f>
        <v/>
      </c>
      <c r="J24" s="127">
        <f>MIN(J23,J8+J18+J7-J20)</f>
        <v/>
      </c>
      <c r="K24" s="127">
        <f>MIN(K23,K8+K18+K7-K20)</f>
        <v/>
      </c>
      <c r="L24" s="127">
        <f>MIN(L23,L8+L18+L7-L20)</f>
        <v/>
      </c>
    </row>
    <row r="25" ht="15" customHeight="1" s="74">
      <c r="A25" s="79" t="inlineStr">
        <is>
          <t>Revolver Repayment</t>
        </is>
      </c>
      <c r="B25" s="109">
        <f>MIN(B8+B18,B24)</f>
        <v/>
      </c>
      <c r="C25" s="109">
        <f>MIN(C8+C18,C24)</f>
        <v/>
      </c>
      <c r="D25" s="109">
        <f>MIN(D8+D18,D24)</f>
        <v/>
      </c>
      <c r="E25" s="109">
        <f>MIN(E8+E18,E24)</f>
        <v/>
      </c>
      <c r="F25" s="109">
        <f>MIN(F8+F18,F24)</f>
        <v/>
      </c>
      <c r="G25" s="79" t="inlineStr">
        <is>
          <t>Revolver Repayment</t>
        </is>
      </c>
      <c r="H25" s="109">
        <f>MIN(H8+H18,H24)</f>
        <v/>
      </c>
      <c r="I25" s="109">
        <f>MIN(I8+I18,I24)</f>
        <v/>
      </c>
      <c r="J25" s="109">
        <f>MIN(J8+J18,J24)</f>
        <v/>
      </c>
      <c r="K25" s="109">
        <f>MIN(K8+K18,K24)</f>
        <v/>
      </c>
      <c r="L25" s="109">
        <f>MIN(L8+L18,L24)</f>
        <v/>
      </c>
    </row>
    <row r="26" ht="15" customHeight="1" s="74">
      <c r="A26" s="79" t="inlineStr">
        <is>
          <t>Term Loan Cash Sweep</t>
        </is>
      </c>
      <c r="B26" s="109">
        <f>MIN(B7-B20,MAX(0,B24-B25))</f>
        <v/>
      </c>
      <c r="C26" s="109">
        <f>MIN(C7-C20,MAX(0,C24-C25))</f>
        <v/>
      </c>
      <c r="D26" s="109">
        <f>MIN(D7-D20,MAX(0,D24-D25))</f>
        <v/>
      </c>
      <c r="E26" s="109">
        <f>MIN(E7-E20,MAX(0,E24-E25))</f>
        <v/>
      </c>
      <c r="F26" s="109">
        <f>MIN(F7-F20,MAX(0,F24-F25))</f>
        <v/>
      </c>
      <c r="G26" s="79" t="inlineStr">
        <is>
          <t>Term Loan Cash Sweep</t>
        </is>
      </c>
      <c r="H26" s="109">
        <f>MIN(H7-H20,MAX(0,H24-H25))</f>
        <v/>
      </c>
      <c r="I26" s="109">
        <f>MIN(I7-I20,MAX(0,I24-I25))</f>
        <v/>
      </c>
      <c r="J26" s="109">
        <f>MIN(J7-J20,MAX(0,J24-J25))</f>
        <v/>
      </c>
      <c r="K26" s="109">
        <f>MIN(K7-K20,MAX(0,K24-K25))</f>
        <v/>
      </c>
      <c r="L26" s="109">
        <f>MIN(L7-L20,MAX(0,L24-L25))</f>
        <v/>
      </c>
    </row>
    <row r="27" ht="15" customHeight="1" s="74">
      <c r="A27" s="87" t="inlineStr">
        <is>
          <t>Ending Cash</t>
        </is>
      </c>
      <c r="B27" s="95">
        <f>B21-B24</f>
        <v/>
      </c>
      <c r="C27" s="95">
        <f>C21-C24</f>
        <v/>
      </c>
      <c r="D27" s="95">
        <f>D21-D24</f>
        <v/>
      </c>
      <c r="E27" s="95">
        <f>E21-E24</f>
        <v/>
      </c>
      <c r="F27" s="95">
        <f>F21-F24</f>
        <v/>
      </c>
      <c r="G27" s="87" t="inlineStr">
        <is>
          <t>Ending Cash</t>
        </is>
      </c>
      <c r="H27" s="95">
        <f>H21-H24</f>
        <v/>
      </c>
      <c r="I27" s="95">
        <f>I21-I24</f>
        <v/>
      </c>
      <c r="J27" s="95">
        <f>J21-J24</f>
        <v/>
      </c>
      <c r="K27" s="95">
        <f>K21-K24</f>
        <v/>
      </c>
      <c r="L27" s="95">
        <f>L21-L24</f>
        <v/>
      </c>
    </row>
    <row r="28" ht="15" customHeight="1" s="74">
      <c r="A28" s="79" t="inlineStr">
        <is>
          <t>Ending Term Loan</t>
        </is>
      </c>
      <c r="B28" s="109">
        <f>B7-B20-B26</f>
        <v/>
      </c>
      <c r="C28" s="109">
        <f>C7-C20-C26</f>
        <v/>
      </c>
      <c r="D28" s="109">
        <f>D7-D20-D26</f>
        <v/>
      </c>
      <c r="E28" s="109">
        <f>E7-E20-E26</f>
        <v/>
      </c>
      <c r="F28" s="109">
        <f>F7-F20-F26</f>
        <v/>
      </c>
      <c r="G28" s="79" t="inlineStr">
        <is>
          <t>Ending Term Loan</t>
        </is>
      </c>
      <c r="H28" s="109">
        <f>H7-H20-H26</f>
        <v/>
      </c>
      <c r="I28" s="109">
        <f>I7-I20-I26</f>
        <v/>
      </c>
      <c r="J28" s="109">
        <f>J7-J20-J26</f>
        <v/>
      </c>
      <c r="K28" s="109">
        <f>K7-K20-K26</f>
        <v/>
      </c>
      <c r="L28" s="109">
        <f>L7-L20-L26</f>
        <v/>
      </c>
    </row>
    <row r="29" ht="15" customHeight="1" s="74">
      <c r="A29" s="79" t="inlineStr">
        <is>
          <t>Ending Revolver</t>
        </is>
      </c>
      <c r="B29" s="109">
        <f>B8+B18-B25</f>
        <v/>
      </c>
      <c r="C29" s="109">
        <f>C8+C18-C25</f>
        <v/>
      </c>
      <c r="D29" s="109">
        <f>D8+D18-D25</f>
        <v/>
      </c>
      <c r="E29" s="109">
        <f>E8+E18-E25</f>
        <v/>
      </c>
      <c r="F29" s="109">
        <f>F8+F18-F25</f>
        <v/>
      </c>
      <c r="G29" s="79" t="inlineStr">
        <is>
          <t>Ending Revolver</t>
        </is>
      </c>
      <c r="H29" s="109">
        <f>H8+H18-H25</f>
        <v/>
      </c>
      <c r="I29" s="109">
        <f>I8+I18-I25</f>
        <v/>
      </c>
      <c r="J29" s="109">
        <f>J8+J18-J25</f>
        <v/>
      </c>
      <c r="K29" s="109">
        <f>K8+K18-K25</f>
        <v/>
      </c>
      <c r="L29" s="109">
        <f>L8+L18-L25</f>
        <v/>
      </c>
    </row>
    <row r="30" ht="15" customHeight="1" s="74">
      <c r="A30" s="87" t="inlineStr">
        <is>
          <t>Ending Total Debt</t>
        </is>
      </c>
      <c r="B30" s="95">
        <f>SUM(B28:B29)</f>
        <v/>
      </c>
      <c r="C30" s="95">
        <f>SUM(C28:C29)</f>
        <v/>
      </c>
      <c r="D30" s="95">
        <f>SUM(D28:D29)</f>
        <v/>
      </c>
      <c r="E30" s="95">
        <f>SUM(E28:E29)</f>
        <v/>
      </c>
      <c r="F30" s="95">
        <f>SUM(F28:F29)</f>
        <v/>
      </c>
      <c r="G30" s="87" t="inlineStr">
        <is>
          <t>Ending Total Debt</t>
        </is>
      </c>
      <c r="H30" s="95">
        <f>SUM(H28:H29)</f>
        <v/>
      </c>
      <c r="I30" s="95">
        <f>SUM(I28:I29)</f>
        <v/>
      </c>
      <c r="J30" s="95">
        <f>SUM(J28:J29)</f>
        <v/>
      </c>
      <c r="K30" s="95">
        <f>SUM(K28:K29)</f>
        <v/>
      </c>
      <c r="L30" s="95">
        <f>SUM(L28:L29)</f>
        <v/>
      </c>
    </row>
    <row r="31" ht="15" customHeight="1" s="74">
      <c r="A31" s="126" t="inlineStr">
        <is>
          <t>Liquidity Shortfall</t>
        </is>
      </c>
      <c r="B31" s="130">
        <f>MAX(0,Assumptions!B$9-B27)+MAX(0,B16-B20)</f>
        <v/>
      </c>
      <c r="C31" s="130">
        <f>MAX(0,Assumptions!B$9-C27)+MAX(0,C16-C20)</f>
        <v/>
      </c>
      <c r="D31" s="130">
        <f>MAX(0,Assumptions!B$9-D27)+MAX(0,D16-D20)</f>
        <v/>
      </c>
      <c r="E31" s="130">
        <f>MAX(0,Assumptions!B$9-E27)+MAX(0,E16-E20)</f>
        <v/>
      </c>
      <c r="F31" s="130">
        <f>MAX(0,Assumptions!B$9-F27)+MAX(0,F16-F20)</f>
        <v/>
      </c>
      <c r="G31" s="126" t="inlineStr">
        <is>
          <t>Liquidity Shortfall</t>
        </is>
      </c>
      <c r="H31" s="130">
        <f>MAX(0,Assumptions!C$9-H27)+MAX(0,H16-H20)</f>
        <v/>
      </c>
      <c r="I31" s="130">
        <f>MAX(0,Assumptions!C$9-I27)+MAX(0,I16-I20)</f>
        <v/>
      </c>
      <c r="J31" s="130">
        <f>MAX(0,Assumptions!C$9-J27)+MAX(0,J16-J20)</f>
        <v/>
      </c>
      <c r="K31" s="130">
        <f>MAX(0,Assumptions!C$9-K27)+MAX(0,K16-K20)</f>
        <v/>
      </c>
      <c r="L31" s="130">
        <f>MAX(0,Assumptions!C$9-L27)+MAX(0,L16-L20)</f>
        <v/>
      </c>
    </row>
    <row r="32" ht="15" customHeight="1" s="74">
      <c r="A32" s="87" t="inlineStr">
        <is>
          <t>Debt Roll-Forward Difference</t>
        </is>
      </c>
      <c r="B32" s="95">
        <f>B30-(B7+B8+B18-B20-B24)</f>
        <v/>
      </c>
      <c r="C32" s="95">
        <f>C30-(C7+C8+C18-C20-C24)</f>
        <v/>
      </c>
      <c r="D32" s="95">
        <f>D30-(D7+D8+D18-D20-D24)</f>
        <v/>
      </c>
      <c r="E32" s="95">
        <f>E30-(E7+E8+E18-E20-E24)</f>
        <v/>
      </c>
      <c r="F32" s="95">
        <f>F30-(F7+F8+F18-F20-F24)</f>
        <v/>
      </c>
      <c r="G32" s="87" t="inlineStr">
        <is>
          <t>Debt Roll-Forward Difference</t>
        </is>
      </c>
      <c r="H32" s="95">
        <f>H30-(H7+H8+H18-H20-H24)</f>
        <v/>
      </c>
      <c r="I32" s="95">
        <f>I30-(I7+I8+I18-I20-I24)</f>
        <v/>
      </c>
      <c r="J32" s="95">
        <f>J30-(J7+J8+J18-J20-J24)</f>
        <v/>
      </c>
      <c r="K32" s="95">
        <f>K30-(K7+K8+K18-K20-K24)</f>
        <v/>
      </c>
      <c r="L32" s="95">
        <f>L30-(L7+L8+L18-L20-L24)</f>
        <v/>
      </c>
    </row>
  </sheetData>
  <mergeCells count="4">
    <mergeCell ref="A3:F3"/>
    <mergeCell ref="A2:L2"/>
    <mergeCell ref="G3:L3"/>
    <mergeCell ref="A1:L1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filterMode="0">
    <tabColor rgb="FF1F4E78"/>
    <outlinePr summaryBelow="1" summaryRight="1"/>
    <pageSetUpPr fitToPage="1"/>
  </sheetPr>
  <dimension ref="A1:G28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8" customWidth="1" style="73" min="1" max="1"/>
    <col width="20" customWidth="1" style="73" min="2" max="2"/>
    <col width="4" customWidth="1" style="73" min="3" max="3"/>
    <col width="38" customWidth="1" style="73" min="4" max="4"/>
    <col width="20" customWidth="1" style="73" min="5" max="5"/>
    <col width="62" customWidth="1" style="73" min="6" max="6"/>
    <col width="14" customWidth="1" style="73" min="7" max="7"/>
  </cols>
  <sheetData>
    <row r="1" ht="27" customHeight="1" s="74">
      <c r="A1" s="75" t="inlineStr">
        <is>
          <t>Steps IV and V. Calculate Exit Enterprise Value and Sponsor Equity Proceeds and Calculate Sponsor Returns</t>
        </is>
      </c>
    </row>
    <row r="2" ht="25.5" customHeight="1" s="74">
      <c r="A2" s="76" t="inlineStr">
        <is>
          <t>Exit enterprise value is bridged to sponsor proceeds, followed by MOIC, annualized IRR, and the maximum entry price that exactly meets the target IRR.</t>
        </is>
      </c>
    </row>
    <row r="3"/>
    <row r="4" ht="28.5" customHeight="1" s="74">
      <c r="A4" s="86" t="inlineStr">
        <is>
          <t>AI Valuation</t>
        </is>
      </c>
      <c r="B4" s="86" t="inlineStr">
        <is>
          <t>Value</t>
        </is>
      </c>
      <c r="C4" s="86" t="n"/>
      <c r="D4" s="86" t="inlineStr">
        <is>
          <t>Student Template</t>
        </is>
      </c>
      <c r="E4" s="86" t="inlineStr">
        <is>
          <t>Value</t>
        </is>
      </c>
      <c r="F4" s="86" t="inlineStr">
        <is>
          <t>Definition / Interpretation</t>
        </is>
      </c>
      <c r="G4" s="86" t="inlineStr">
        <is>
          <t>Check</t>
        </is>
      </c>
    </row>
    <row r="5" ht="15" customHeight="1" s="74">
      <c r="A5" s="79" t="inlineStr">
        <is>
          <t>Entry EBITDA</t>
        </is>
      </c>
      <c r="B5" s="124">
        <f>Assumptions!B5</f>
        <v/>
      </c>
      <c r="D5" s="79" t="inlineStr">
        <is>
          <t>Entry EBITDA</t>
        </is>
      </c>
      <c r="E5" s="124">
        <f>Assumptions!C5</f>
        <v/>
      </c>
    </row>
    <row r="6" ht="15" customHeight="1" s="74">
      <c r="A6" s="79" t="inlineStr">
        <is>
          <t>Entry Enterprise Value</t>
        </is>
      </c>
      <c r="B6" s="124">
        <f>'Sources &amp; Uses'!B7</f>
        <v/>
      </c>
      <c r="D6" s="79" t="inlineStr">
        <is>
          <t>Entry Enterprise Value</t>
        </is>
      </c>
      <c r="E6" s="124">
        <f>'Sources &amp; Uses'!E7</f>
        <v/>
      </c>
    </row>
    <row r="7" ht="15" customHeight="1" s="74">
      <c r="A7" s="79" t="inlineStr">
        <is>
          <t>Initial Sponsor Equity</t>
        </is>
      </c>
      <c r="B7" s="124">
        <f>'Sources &amp; Uses'!B20</f>
        <v/>
      </c>
      <c r="D7" s="79" t="inlineStr">
        <is>
          <t>Initial Sponsor Equity</t>
        </is>
      </c>
      <c r="E7" s="124">
        <f>'Sources &amp; Uses'!E20</f>
        <v/>
      </c>
    </row>
    <row r="8" ht="15" customHeight="1" s="74">
      <c r="A8" s="79" t="inlineStr">
        <is>
          <t>Holding Period</t>
        </is>
      </c>
      <c r="B8" s="131">
        <f>Assumptions!B19</f>
        <v/>
      </c>
      <c r="D8" s="79" t="inlineStr">
        <is>
          <t>Holding Period</t>
        </is>
      </c>
      <c r="E8" s="131">
        <f>Assumptions!C19</f>
        <v/>
      </c>
    </row>
    <row r="9" ht="18" customHeight="1" s="74">
      <c r="A9" s="77" t="inlineStr">
        <is>
          <t>Step IV. Exit enterprise value and sponsor equity proceeds</t>
        </is>
      </c>
      <c r="D9" s="77" t="inlineStr">
        <is>
          <t>Step IV. Exit enterprise value and sponsor equity proceeds</t>
        </is>
      </c>
    </row>
    <row r="10" ht="15" customHeight="1" s="74">
      <c r="A10" s="79" t="inlineStr">
        <is>
          <t>Exit EBITDA</t>
        </is>
      </c>
      <c r="B10" s="124">
        <f>INDEX('Operating Forecast'!B9:F9,1,B8)</f>
        <v/>
      </c>
      <c r="D10" s="79" t="inlineStr">
        <is>
          <t>Exit EBITDA</t>
        </is>
      </c>
      <c r="E10" s="124">
        <f>INDEX('Operating Forecast'!H9:L9,1,E8)</f>
        <v/>
      </c>
    </row>
    <row r="11" ht="15" customHeight="1" s="74">
      <c r="A11" s="79" t="inlineStr">
        <is>
          <t>Exit EBITDA Multiple</t>
        </is>
      </c>
      <c r="B11" s="125">
        <f>Assumptions!B20</f>
        <v/>
      </c>
      <c r="D11" s="79" t="inlineStr">
        <is>
          <t>Exit EBITDA Multiple</t>
        </is>
      </c>
      <c r="E11" s="125">
        <f>Assumptions!C20</f>
        <v/>
      </c>
    </row>
    <row r="12" ht="15" customHeight="1" s="74">
      <c r="A12" s="79" t="inlineStr">
        <is>
          <t>Exit Enterprise Value</t>
        </is>
      </c>
      <c r="B12" s="109">
        <f>B10*B11</f>
        <v/>
      </c>
      <c r="D12" s="79" t="inlineStr">
        <is>
          <t>Exit Enterprise Value</t>
        </is>
      </c>
      <c r="E12" s="109">
        <f>E10*E11</f>
        <v/>
      </c>
      <c r="F12" s="110" t="inlineStr">
        <is>
          <t>Exit EBITDA multiplied by the selected exit multiple.</t>
        </is>
      </c>
    </row>
    <row r="13" ht="15" customHeight="1" s="74">
      <c r="A13" s="79" t="inlineStr">
        <is>
          <t>Ending Term Loan</t>
        </is>
      </c>
      <c r="B13" s="124">
        <f>INDEX('Debt Schedule'!B$28:F$28,1,B8)</f>
        <v/>
      </c>
      <c r="D13" s="79" t="inlineStr">
        <is>
          <t>Ending Term Loan</t>
        </is>
      </c>
      <c r="E13" s="124">
        <f>INDEX('Debt Schedule'!H$28:L$28,1,E8)</f>
        <v/>
      </c>
    </row>
    <row r="14" ht="15" customHeight="1" s="74">
      <c r="A14" s="79" t="inlineStr">
        <is>
          <t>Ending Revolver</t>
        </is>
      </c>
      <c r="B14" s="124">
        <f>INDEX('Debt Schedule'!B$29:F$29,1,B8)</f>
        <v/>
      </c>
      <c r="D14" s="79" t="inlineStr">
        <is>
          <t>Ending Revolver</t>
        </is>
      </c>
      <c r="E14" s="124">
        <f>INDEX('Debt Schedule'!H$29:L$29,1,E8)</f>
        <v/>
      </c>
    </row>
    <row r="15" ht="15" customHeight="1" s="74">
      <c r="A15" s="79" t="inlineStr">
        <is>
          <t>Ending Total Debt</t>
        </is>
      </c>
      <c r="B15" s="109">
        <f>SUM(B13:B14)</f>
        <v/>
      </c>
      <c r="D15" s="79" t="inlineStr">
        <is>
          <t>Ending Total Debt</t>
        </is>
      </c>
      <c r="E15" s="109">
        <f>SUM(E13:E14)</f>
        <v/>
      </c>
    </row>
    <row r="16" ht="15" customHeight="1" s="74">
      <c r="A16" s="79" t="inlineStr">
        <is>
          <t>Ending Cash</t>
        </is>
      </c>
      <c r="B16" s="124">
        <f>INDEX('Debt Schedule'!B$27:F$27,1,B8)</f>
        <v/>
      </c>
      <c r="D16" s="79" t="inlineStr">
        <is>
          <t>Ending Cash</t>
        </is>
      </c>
      <c r="E16" s="124">
        <f>INDEX('Debt Schedule'!H$27:L$27,1,E8)</f>
        <v/>
      </c>
    </row>
    <row r="17" ht="15" customHeight="1" s="74">
      <c r="A17" s="79" t="inlineStr">
        <is>
          <t>Exit Fees</t>
        </is>
      </c>
      <c r="B17" s="124">
        <f>B12*Assumptions!B21</f>
        <v/>
      </c>
      <c r="D17" s="79" t="inlineStr">
        <is>
          <t>Exit Fees</t>
        </is>
      </c>
      <c r="E17" s="124">
        <f>E12*Assumptions!C21</f>
        <v/>
      </c>
    </row>
    <row r="18" ht="52.2" customHeight="1" s="74">
      <c r="A18" s="79" t="inlineStr">
        <is>
          <t>Sponsor Exit Proceeds</t>
        </is>
      </c>
      <c r="B18" s="109">
        <f>MAX(0,B12-B15+B16-B17)</f>
        <v/>
      </c>
      <c r="D18" s="79" t="inlineStr">
        <is>
          <t>Sponsor Exit Proceeds</t>
        </is>
      </c>
      <c r="E18" s="109">
        <f>MAX(0,E12-E15+E16-E17)</f>
        <v/>
      </c>
      <c r="F18" s="110" t="inlineStr">
        <is>
          <t>Exit enterprise value less ending debt, plus ending cash, less exit fees. Sponsor cash proceeds are floored at zero under limited liability; any economic shortfall remains disclosed in the Python audit.</t>
        </is>
      </c>
    </row>
    <row r="19" ht="18" customHeight="1" s="74">
      <c r="A19" s="77" t="inlineStr">
        <is>
          <t>Step V. Sponsor returns</t>
        </is>
      </c>
      <c r="D19" s="77" t="inlineStr">
        <is>
          <t>Step V. Sponsor returns</t>
        </is>
      </c>
    </row>
    <row r="20" ht="15" customHeight="1" s="74">
      <c r="A20" s="87" t="inlineStr">
        <is>
          <t>MOIC</t>
        </is>
      </c>
      <c r="B20" s="93">
        <f>IF(AND(B7&gt;0,B18&gt;=0),B18/B7,"N/M")</f>
        <v/>
      </c>
      <c r="D20" s="87" t="inlineStr">
        <is>
          <t>MOIC</t>
        </is>
      </c>
      <c r="E20" s="93">
        <f>IF(AND(E7&gt;0,E18&gt;=0),E18/E7,"N/M")</f>
        <v/>
      </c>
      <c r="F20" s="110" t="inlineStr">
        <is>
          <t>Sponsor exit proceeds divided by initial sponsor equity.</t>
        </is>
      </c>
      <c r="G20" s="132">
        <f>IF(B20=E20,"MATCH","REVIEW")</f>
        <v/>
      </c>
    </row>
    <row r="21" ht="15" customHeight="1" s="74">
      <c r="A21" s="87" t="inlineStr">
        <is>
          <t>IRR</t>
        </is>
      </c>
      <c r="B21" s="89">
        <f>IF(AND(ISNUMBER(B20),B20&gt;=0,B8&gt;0),B20^(1/B8)-1,"N/M")</f>
        <v/>
      </c>
      <c r="D21" s="87" t="inlineStr">
        <is>
          <t>IRR</t>
        </is>
      </c>
      <c r="E21" s="89">
        <f>IF(AND(ISNUMBER(E20),E20&gt;=0,E8&gt;0),E20^(1/E8)-1,"N/M")</f>
        <v/>
      </c>
      <c r="F21" s="110" t="inlineStr">
        <is>
          <t>Annualized sponsor return over the selected holding period.</t>
        </is>
      </c>
      <c r="G21" s="132">
        <f>IF(B21=E21,"MATCH","REVIEW")</f>
        <v/>
      </c>
    </row>
    <row r="22" ht="15" customHeight="1" s="74">
      <c r="A22" s="79" t="inlineStr">
        <is>
          <t>Target Sponsor IRR</t>
        </is>
      </c>
      <c r="B22" s="129">
        <f>Assumptions!B22</f>
        <v/>
      </c>
      <c r="D22" s="79" t="inlineStr">
        <is>
          <t>Target Sponsor IRR</t>
        </is>
      </c>
      <c r="E22" s="129">
        <f>Assumptions!C22</f>
        <v/>
      </c>
    </row>
    <row r="23" ht="15" customHeight="1" s="74">
      <c r="A23" s="79" t="inlineStr">
        <is>
          <t>Meets Target</t>
        </is>
      </c>
      <c r="B23" s="132">
        <f>IF(AND(ISNUMBER(B21),B21&gt;=B22),"Yes","No")</f>
        <v/>
      </c>
      <c r="D23" s="79" t="inlineStr">
        <is>
          <t>Meets Target</t>
        </is>
      </c>
      <c r="E23" s="132">
        <f>IF(AND(ISNUMBER(E21),E21&gt;=E22),"Yes","No")</f>
        <v/>
      </c>
    </row>
    <row r="24" ht="18" customHeight="1" s="74">
      <c r="A24" s="77" t="inlineStr">
        <is>
          <t>Step V. Maximum purchase price at target IRR</t>
        </is>
      </c>
      <c r="D24" s="77" t="inlineStr">
        <is>
          <t>Step V. Maximum purchase price at target IRR</t>
        </is>
      </c>
    </row>
    <row r="25" ht="15" customHeight="1" s="74">
      <c r="A25" s="79" t="inlineStr">
        <is>
          <t>Maximum Sponsor Equity</t>
        </is>
      </c>
      <c r="B25" s="109">
        <f>IF(AND(B18&gt;0,B8&gt;0),B18/(1+B22)^B8,"N/M")</f>
        <v/>
      </c>
      <c r="D25" s="79" t="inlineStr">
        <is>
          <t>Maximum Sponsor Equity</t>
        </is>
      </c>
      <c r="E25" s="109">
        <f>IF(AND(E18&gt;0,E8&gt;0),E18/(1+E22)^E8,"N/M")</f>
        <v/>
      </c>
    </row>
    <row r="26" ht="26.85" customHeight="1" s="74">
      <c r="A26" s="87" t="inlineStr">
        <is>
          <t>Maximum Entry Enterprise Value</t>
        </is>
      </c>
      <c r="B26" s="94">
        <f>IF(ISNUMBER(B25),MAX(0,(B25+'Sources &amp; Uses'!B17+'Sources &amp; Uses'!B18-'Sources &amp; Uses'!B13-Assumptions!B9)/(1+Assumptions!B10)),"N/M")</f>
        <v/>
      </c>
      <c r="D26" s="87" t="inlineStr">
        <is>
          <t>Maximum Entry Enterprise Value</t>
        </is>
      </c>
      <c r="E26" s="94">
        <f>IF(ISNUMBER(E25),MAX(0,(E25+'Sources &amp; Uses'!E17+'Sources &amp; Uses'!E18-'Sources &amp; Uses'!E13-Assumptions!C9)/(1+Assumptions!C10)),"N/M")</f>
        <v/>
      </c>
      <c r="F26" s="110" t="inlineStr">
        <is>
          <t>Highest entry enterprise value that produces the target IRR under this operating and financing case.</t>
        </is>
      </c>
      <c r="G26" s="132">
        <f>IF(B26=E26,"MATCH","REVIEW")</f>
        <v/>
      </c>
    </row>
    <row r="27" ht="15" customHeight="1" s="74">
      <c r="A27" s="87" t="inlineStr">
        <is>
          <t>Maximum Entry EBITDA Multiple</t>
        </is>
      </c>
      <c r="B27" s="93">
        <f>IF(AND(ISNUMBER(B26),B5&gt;0),B26/B5,"N/M")</f>
        <v/>
      </c>
      <c r="D27" s="87" t="inlineStr">
        <is>
          <t>Maximum Entry EBITDA Multiple</t>
        </is>
      </c>
      <c r="E27" s="93">
        <f>IF(AND(ISNUMBER(E26),E5&gt;0),E26/E5,"N/M")</f>
        <v/>
      </c>
    </row>
    <row r="28" ht="15" customHeight="1" s="74">
      <c r="A28" s="79" t="inlineStr">
        <is>
          <t>Maximum Equity Purchase Price</t>
        </is>
      </c>
      <c r="B28" s="124">
        <f>IF(ISNUMBER(B26),B26-Assumptions!B7+Assumptions!B8,"N/M")</f>
        <v/>
      </c>
      <c r="D28" s="79" t="inlineStr">
        <is>
          <t>Maximum Equity Purchase Price</t>
        </is>
      </c>
      <c r="E28" s="124">
        <f>IF(ISNUMBER(E26),E26-Assumptions!C7+Assumptions!C8,"N/M")</f>
        <v/>
      </c>
    </row>
  </sheetData>
  <mergeCells count="8">
    <mergeCell ref="A24:B24"/>
    <mergeCell ref="A1:G1"/>
    <mergeCell ref="D24:E24"/>
    <mergeCell ref="D19:E19"/>
    <mergeCell ref="A19:B19"/>
    <mergeCell ref="A2:G2"/>
    <mergeCell ref="A9:B9"/>
    <mergeCell ref="D9:E9"/>
  </mergeCells>
  <conditionalFormatting sqref="G20">
    <cfRule type="expression" rank="0" priority="2" equalAverage="0" aboveAverage="0" dxfId="0" text="" percent="0" bottom="0">
      <formula>EXACT(G20,"MATCH")</formula>
    </cfRule>
    <cfRule type="expression" rank="0" priority="3" equalAverage="0" aboveAverage="0" dxfId="1" text="" percent="0" bottom="0">
      <formula>EXACT(G20,"REVIEW")</formula>
    </cfRule>
  </conditionalFormatting>
  <conditionalFormatting sqref="G21">
    <cfRule type="expression" rank="0" priority="4" equalAverage="0" aboveAverage="0" dxfId="0" text="" percent="0" bottom="0">
      <formula>EXACT(G21,"MATCH")</formula>
    </cfRule>
    <cfRule type="expression" rank="0" priority="5" equalAverage="0" aboveAverage="0" dxfId="1" text="" percent="0" bottom="0">
      <formula>EXACT(G21,"REVIEW")</formula>
    </cfRule>
  </conditionalFormatting>
  <conditionalFormatting sqref="G26">
    <cfRule type="expression" rank="0" priority="6" equalAverage="0" aboveAverage="0" dxfId="0" text="" percent="0" bottom="0">
      <formula>EXACT(G26,"MATCH")</formula>
    </cfRule>
    <cfRule type="expression" rank="0" priority="7" equalAverage="0" aboveAverage="0" dxfId="1" text="" percent="0" bottom="0">
      <formula>EXACT(G26,"REVIEW")</formula>
    </cfRule>
  </conditionalFormatting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 filterMode="0">
    <tabColor rgb="FF1F4E78"/>
    <outlinePr summaryBelow="1" summaryRight="1"/>
    <pageSetUpPr fitToPage="1"/>
  </sheetPr>
  <dimension ref="A1:G19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1" customWidth="1" style="73" min="1" max="1"/>
    <col width="17" customWidth="1" style="73" min="2" max="6"/>
    <col width="26" customWidth="1" style="73" min="7" max="7"/>
  </cols>
  <sheetData>
    <row r="1" ht="27" customHeight="1" s="74">
      <c r="A1" s="75" t="inlineStr">
        <is>
          <t>Step V. Entry Multiple / Exit Multiple IRR Sensitivity</t>
        </is>
      </c>
    </row>
    <row r="2" ht="25.5" customHeight="1" s="74">
      <c r="A2" s="76" t="inlineStr">
        <is>
          <t>Every matrix cell independently recalculates sponsor equity and exit proceeds. These are formulas, not pasted Python outputs or Excel data tables.</t>
        </is>
      </c>
    </row>
    <row r="3"/>
    <row r="4" ht="18" customHeight="1" s="74">
      <c r="A4" s="77" t="inlineStr">
        <is>
          <t>AI Valuation — Sponsor IRR</t>
        </is>
      </c>
    </row>
    <row r="5" ht="28.5" customHeight="1" s="74">
      <c r="A5" s="86" t="inlineStr">
        <is>
          <t>Entry Multiple / Exit Multiple</t>
        </is>
      </c>
      <c r="B5" s="133">
        <f>Assumptions!B20*0.75</f>
        <v/>
      </c>
      <c r="C5" s="133">
        <f>Assumptions!B20*0.875</f>
        <v/>
      </c>
      <c r="D5" s="133">
        <f>Assumptions!B20*1</f>
        <v/>
      </c>
      <c r="E5" s="133">
        <f>Assumptions!B20*1.125</f>
        <v/>
      </c>
      <c r="F5" s="133">
        <f>Assumptions!B20*1.25</f>
        <v/>
      </c>
      <c r="G5" s="86" t="inlineStr">
        <is>
          <t>Base case highlighted</t>
        </is>
      </c>
    </row>
    <row r="6" ht="15" customHeight="1" s="74">
      <c r="A6" s="125">
        <f>Assumptions!B6*0.75</f>
        <v/>
      </c>
      <c r="B6" s="129">
        <f>IF(((Assumptions!$B$5*$A6)*(1+Assumptions!$B$10)+'Sources &amp; Uses'!$B$13+Assumptions!$B$9-'Sources &amp; Uses'!$B$17-'Sources &amp; Uses'!$B$18)&gt;0,(MAX(0,(Returns!$B$10*B$5)-Returns!$B$15+Returns!$B$16-(Returns!$B$10*B$5)*Assumptions!$B$21)/((Assumptions!$B$5*$A6)*(1+Assumptions!$B$10)+'Sources &amp; Uses'!$B$13+Assumptions!$B$9-'Sources &amp; Uses'!$B$17-'Sources &amp; Uses'!$B$18))^(1/Assumptions!$B$19)-1,"N/M")</f>
        <v/>
      </c>
      <c r="C6" s="129">
        <f>IF(((Assumptions!$B$5*$A6)*(1+Assumptions!$B$10)+'Sources &amp; Uses'!$B$13+Assumptions!$B$9-'Sources &amp; Uses'!$B$17-'Sources &amp; Uses'!$B$18)&gt;0,(MAX(0,(Returns!$B$10*C$5)-Returns!$B$15+Returns!$B$16-(Returns!$B$10*C$5)*Assumptions!$B$21)/((Assumptions!$B$5*$A6)*(1+Assumptions!$B$10)+'Sources &amp; Uses'!$B$13+Assumptions!$B$9-'Sources &amp; Uses'!$B$17-'Sources &amp; Uses'!$B$18))^(1/Assumptions!$B$19)-1,"N/M")</f>
        <v/>
      </c>
      <c r="D6" s="129">
        <f>IF(((Assumptions!$B$5*$A6)*(1+Assumptions!$B$10)+'Sources &amp; Uses'!$B$13+Assumptions!$B$9-'Sources &amp; Uses'!$B$17-'Sources &amp; Uses'!$B$18)&gt;0,(MAX(0,(Returns!$B$10*D$5)-Returns!$B$15+Returns!$B$16-(Returns!$B$10*D$5)*Assumptions!$B$21)/((Assumptions!$B$5*$A6)*(1+Assumptions!$B$10)+'Sources &amp; Uses'!$B$13+Assumptions!$B$9-'Sources &amp; Uses'!$B$17-'Sources &amp; Uses'!$B$18))^(1/Assumptions!$B$19)-1,"N/M")</f>
        <v/>
      </c>
      <c r="E6" s="129">
        <f>IF(((Assumptions!$B$5*$A6)*(1+Assumptions!$B$10)+'Sources &amp; Uses'!$B$13+Assumptions!$B$9-'Sources &amp; Uses'!$B$17-'Sources &amp; Uses'!$B$18)&gt;0,(MAX(0,(Returns!$B$10*E$5)-Returns!$B$15+Returns!$B$16-(Returns!$B$10*E$5)*Assumptions!$B$21)/((Assumptions!$B$5*$A6)*(1+Assumptions!$B$10)+'Sources &amp; Uses'!$B$13+Assumptions!$B$9-'Sources &amp; Uses'!$B$17-'Sources &amp; Uses'!$B$18))^(1/Assumptions!$B$19)-1,"N/M")</f>
        <v/>
      </c>
      <c r="F6" s="129">
        <f>IF(((Assumptions!$B$5*$A6)*(1+Assumptions!$B$10)+'Sources &amp; Uses'!$B$13+Assumptions!$B$9-'Sources &amp; Uses'!$B$17-'Sources &amp; Uses'!$B$18)&gt;0,(MAX(0,(Returns!$B$10*F$5)-Returns!$B$15+Returns!$B$16-(Returns!$B$10*F$5)*Assumptions!$B$21)/((Assumptions!$B$5*$A6)*(1+Assumptions!$B$10)+'Sources &amp; Uses'!$B$13+Assumptions!$B$9-'Sources &amp; Uses'!$B$17-'Sources &amp; Uses'!$B$18))^(1/Assumptions!$B$19)-1,"N/M")</f>
        <v/>
      </c>
      <c r="G6" s="79" t="n"/>
    </row>
    <row r="7" ht="15" customHeight="1" s="74">
      <c r="A7" s="125">
        <f>Assumptions!B6*0.875</f>
        <v/>
      </c>
      <c r="B7" s="129">
        <f>IF(((Assumptions!$B$5*$A7)*(1+Assumptions!$B$10)+'Sources &amp; Uses'!$B$13+Assumptions!$B$9-'Sources &amp; Uses'!$B$17-'Sources &amp; Uses'!$B$18)&gt;0,(MAX(0,(Returns!$B$10*B$5)-Returns!$B$15+Returns!$B$16-(Returns!$B$10*B$5)*Assumptions!$B$21)/((Assumptions!$B$5*$A7)*(1+Assumptions!$B$10)+'Sources &amp; Uses'!$B$13+Assumptions!$B$9-'Sources &amp; Uses'!$B$17-'Sources &amp; Uses'!$B$18))^(1/Assumptions!$B$19)-1,"N/M")</f>
        <v/>
      </c>
      <c r="C7" s="129">
        <f>IF(((Assumptions!$B$5*$A7)*(1+Assumptions!$B$10)+'Sources &amp; Uses'!$B$13+Assumptions!$B$9-'Sources &amp; Uses'!$B$17-'Sources &amp; Uses'!$B$18)&gt;0,(MAX(0,(Returns!$B$10*C$5)-Returns!$B$15+Returns!$B$16-(Returns!$B$10*C$5)*Assumptions!$B$21)/((Assumptions!$B$5*$A7)*(1+Assumptions!$B$10)+'Sources &amp; Uses'!$B$13+Assumptions!$B$9-'Sources &amp; Uses'!$B$17-'Sources &amp; Uses'!$B$18))^(1/Assumptions!$B$19)-1,"N/M")</f>
        <v/>
      </c>
      <c r="D7" s="129">
        <f>IF(((Assumptions!$B$5*$A7)*(1+Assumptions!$B$10)+'Sources &amp; Uses'!$B$13+Assumptions!$B$9-'Sources &amp; Uses'!$B$17-'Sources &amp; Uses'!$B$18)&gt;0,(MAX(0,(Returns!$B$10*D$5)-Returns!$B$15+Returns!$B$16-(Returns!$B$10*D$5)*Assumptions!$B$21)/((Assumptions!$B$5*$A7)*(1+Assumptions!$B$10)+'Sources &amp; Uses'!$B$13+Assumptions!$B$9-'Sources &amp; Uses'!$B$17-'Sources &amp; Uses'!$B$18))^(1/Assumptions!$B$19)-1,"N/M")</f>
        <v/>
      </c>
      <c r="E7" s="129">
        <f>IF(((Assumptions!$B$5*$A7)*(1+Assumptions!$B$10)+'Sources &amp; Uses'!$B$13+Assumptions!$B$9-'Sources &amp; Uses'!$B$17-'Sources &amp; Uses'!$B$18)&gt;0,(MAX(0,(Returns!$B$10*E$5)-Returns!$B$15+Returns!$B$16-(Returns!$B$10*E$5)*Assumptions!$B$21)/((Assumptions!$B$5*$A7)*(1+Assumptions!$B$10)+'Sources &amp; Uses'!$B$13+Assumptions!$B$9-'Sources &amp; Uses'!$B$17-'Sources &amp; Uses'!$B$18))^(1/Assumptions!$B$19)-1,"N/M")</f>
        <v/>
      </c>
      <c r="F7" s="129">
        <f>IF(((Assumptions!$B$5*$A7)*(1+Assumptions!$B$10)+'Sources &amp; Uses'!$B$13+Assumptions!$B$9-'Sources &amp; Uses'!$B$17-'Sources &amp; Uses'!$B$18)&gt;0,(MAX(0,(Returns!$B$10*F$5)-Returns!$B$15+Returns!$B$16-(Returns!$B$10*F$5)*Assumptions!$B$21)/((Assumptions!$B$5*$A7)*(1+Assumptions!$B$10)+'Sources &amp; Uses'!$B$13+Assumptions!$B$9-'Sources &amp; Uses'!$B$17-'Sources &amp; Uses'!$B$18))^(1/Assumptions!$B$19)-1,"N/M")</f>
        <v/>
      </c>
      <c r="G7" s="79" t="n"/>
    </row>
    <row r="8" ht="15" customHeight="1" s="74">
      <c r="A8" s="125">
        <f>Assumptions!B6*1</f>
        <v/>
      </c>
      <c r="B8" s="129">
        <f>IF(((Assumptions!$B$5*$A8)*(1+Assumptions!$B$10)+'Sources &amp; Uses'!$B$13+Assumptions!$B$9-'Sources &amp; Uses'!$B$17-'Sources &amp; Uses'!$B$18)&gt;0,(MAX(0,(Returns!$B$10*B$5)-Returns!$B$15+Returns!$B$16-(Returns!$B$10*B$5)*Assumptions!$B$21)/((Assumptions!$B$5*$A8)*(1+Assumptions!$B$10)+'Sources &amp; Uses'!$B$13+Assumptions!$B$9-'Sources &amp; Uses'!$B$17-'Sources &amp; Uses'!$B$18))^(1/Assumptions!$B$19)-1,"N/M")</f>
        <v/>
      </c>
      <c r="C8" s="129">
        <f>IF(((Assumptions!$B$5*$A8)*(1+Assumptions!$B$10)+'Sources &amp; Uses'!$B$13+Assumptions!$B$9-'Sources &amp; Uses'!$B$17-'Sources &amp; Uses'!$B$18)&gt;0,(MAX(0,(Returns!$B$10*C$5)-Returns!$B$15+Returns!$B$16-(Returns!$B$10*C$5)*Assumptions!$B$21)/((Assumptions!$B$5*$A8)*(1+Assumptions!$B$10)+'Sources &amp; Uses'!$B$13+Assumptions!$B$9-'Sources &amp; Uses'!$B$17-'Sources &amp; Uses'!$B$18))^(1/Assumptions!$B$19)-1,"N/M")</f>
        <v/>
      </c>
      <c r="D8" s="134">
        <f>IF(((Assumptions!$B$5*$A8)*(1+Assumptions!$B$10)+'Sources &amp; Uses'!$B$13+Assumptions!$B$9-'Sources &amp; Uses'!$B$17-'Sources &amp; Uses'!$B$18)&gt;0,(MAX(0,(Returns!$B$10*D$5)-Returns!$B$15+Returns!$B$16-(Returns!$B$10*D$5)*Assumptions!$B$21)/((Assumptions!$B$5*$A8)*(1+Assumptions!$B$10)+'Sources &amp; Uses'!$B$13+Assumptions!$B$9-'Sources &amp; Uses'!$B$17-'Sources &amp; Uses'!$B$18))^(1/Assumptions!$B$19)-1,"N/M")</f>
        <v/>
      </c>
      <c r="E8" s="129">
        <f>IF(((Assumptions!$B$5*$A8)*(1+Assumptions!$B$10)+'Sources &amp; Uses'!$B$13+Assumptions!$B$9-'Sources &amp; Uses'!$B$17-'Sources &amp; Uses'!$B$18)&gt;0,(MAX(0,(Returns!$B$10*E$5)-Returns!$B$15+Returns!$B$16-(Returns!$B$10*E$5)*Assumptions!$B$21)/((Assumptions!$B$5*$A8)*(1+Assumptions!$B$10)+'Sources &amp; Uses'!$B$13+Assumptions!$B$9-'Sources &amp; Uses'!$B$17-'Sources &amp; Uses'!$B$18))^(1/Assumptions!$B$19)-1,"N/M")</f>
        <v/>
      </c>
      <c r="F8" s="129">
        <f>IF(((Assumptions!$B$5*$A8)*(1+Assumptions!$B$10)+'Sources &amp; Uses'!$B$13+Assumptions!$B$9-'Sources &amp; Uses'!$B$17-'Sources &amp; Uses'!$B$18)&gt;0,(MAX(0,(Returns!$B$10*F$5)-Returns!$B$15+Returns!$B$16-(Returns!$B$10*F$5)*Assumptions!$B$21)/((Assumptions!$B$5*$A8)*(1+Assumptions!$B$10)+'Sources &amp; Uses'!$B$13+Assumptions!$B$9-'Sources &amp; Uses'!$B$17-'Sources &amp; Uses'!$B$18))^(1/Assumptions!$B$19)-1,"N/M")</f>
        <v/>
      </c>
      <c r="G8" s="79" t="inlineStr">
        <is>
          <t>Base entry multiple</t>
        </is>
      </c>
    </row>
    <row r="9" ht="15" customHeight="1" s="74">
      <c r="A9" s="125">
        <f>Assumptions!B6*1.125</f>
        <v/>
      </c>
      <c r="B9" s="129">
        <f>IF(((Assumptions!$B$5*$A9)*(1+Assumptions!$B$10)+'Sources &amp; Uses'!$B$13+Assumptions!$B$9-'Sources &amp; Uses'!$B$17-'Sources &amp; Uses'!$B$18)&gt;0,(MAX(0,(Returns!$B$10*B$5)-Returns!$B$15+Returns!$B$16-(Returns!$B$10*B$5)*Assumptions!$B$21)/((Assumptions!$B$5*$A9)*(1+Assumptions!$B$10)+'Sources &amp; Uses'!$B$13+Assumptions!$B$9-'Sources &amp; Uses'!$B$17-'Sources &amp; Uses'!$B$18))^(1/Assumptions!$B$19)-1,"N/M")</f>
        <v/>
      </c>
      <c r="C9" s="129">
        <f>IF(((Assumptions!$B$5*$A9)*(1+Assumptions!$B$10)+'Sources &amp; Uses'!$B$13+Assumptions!$B$9-'Sources &amp; Uses'!$B$17-'Sources &amp; Uses'!$B$18)&gt;0,(MAX(0,(Returns!$B$10*C$5)-Returns!$B$15+Returns!$B$16-(Returns!$B$10*C$5)*Assumptions!$B$21)/((Assumptions!$B$5*$A9)*(1+Assumptions!$B$10)+'Sources &amp; Uses'!$B$13+Assumptions!$B$9-'Sources &amp; Uses'!$B$17-'Sources &amp; Uses'!$B$18))^(1/Assumptions!$B$19)-1,"N/M")</f>
        <v/>
      </c>
      <c r="D9" s="129">
        <f>IF(((Assumptions!$B$5*$A9)*(1+Assumptions!$B$10)+'Sources &amp; Uses'!$B$13+Assumptions!$B$9-'Sources &amp; Uses'!$B$17-'Sources &amp; Uses'!$B$18)&gt;0,(MAX(0,(Returns!$B$10*D$5)-Returns!$B$15+Returns!$B$16-(Returns!$B$10*D$5)*Assumptions!$B$21)/((Assumptions!$B$5*$A9)*(1+Assumptions!$B$10)+'Sources &amp; Uses'!$B$13+Assumptions!$B$9-'Sources &amp; Uses'!$B$17-'Sources &amp; Uses'!$B$18))^(1/Assumptions!$B$19)-1,"N/M")</f>
        <v/>
      </c>
      <c r="E9" s="129">
        <f>IF(((Assumptions!$B$5*$A9)*(1+Assumptions!$B$10)+'Sources &amp; Uses'!$B$13+Assumptions!$B$9-'Sources &amp; Uses'!$B$17-'Sources &amp; Uses'!$B$18)&gt;0,(MAX(0,(Returns!$B$10*E$5)-Returns!$B$15+Returns!$B$16-(Returns!$B$10*E$5)*Assumptions!$B$21)/((Assumptions!$B$5*$A9)*(1+Assumptions!$B$10)+'Sources &amp; Uses'!$B$13+Assumptions!$B$9-'Sources &amp; Uses'!$B$17-'Sources &amp; Uses'!$B$18))^(1/Assumptions!$B$19)-1,"N/M")</f>
        <v/>
      </c>
      <c r="F9" s="129">
        <f>IF(((Assumptions!$B$5*$A9)*(1+Assumptions!$B$10)+'Sources &amp; Uses'!$B$13+Assumptions!$B$9-'Sources &amp; Uses'!$B$17-'Sources &amp; Uses'!$B$18)&gt;0,(MAX(0,(Returns!$B$10*F$5)-Returns!$B$15+Returns!$B$16-(Returns!$B$10*F$5)*Assumptions!$B$21)/((Assumptions!$B$5*$A9)*(1+Assumptions!$B$10)+'Sources &amp; Uses'!$B$13+Assumptions!$B$9-'Sources &amp; Uses'!$B$17-'Sources &amp; Uses'!$B$18))^(1/Assumptions!$B$19)-1,"N/M")</f>
        <v/>
      </c>
      <c r="G9" s="79" t="n"/>
    </row>
    <row r="10" ht="15" customHeight="1" s="74">
      <c r="A10" s="125">
        <f>Assumptions!B6*1.25</f>
        <v/>
      </c>
      <c r="B10" s="129">
        <f>IF(((Assumptions!$B$5*$A10)*(1+Assumptions!$B$10)+'Sources &amp; Uses'!$B$13+Assumptions!$B$9-'Sources &amp; Uses'!$B$17-'Sources &amp; Uses'!$B$18)&gt;0,(MAX(0,(Returns!$B$10*B$5)-Returns!$B$15+Returns!$B$16-(Returns!$B$10*B$5)*Assumptions!$B$21)/((Assumptions!$B$5*$A10)*(1+Assumptions!$B$10)+'Sources &amp; Uses'!$B$13+Assumptions!$B$9-'Sources &amp; Uses'!$B$17-'Sources &amp; Uses'!$B$18))^(1/Assumptions!$B$19)-1,"N/M")</f>
        <v/>
      </c>
      <c r="C10" s="129">
        <f>IF(((Assumptions!$B$5*$A10)*(1+Assumptions!$B$10)+'Sources &amp; Uses'!$B$13+Assumptions!$B$9-'Sources &amp; Uses'!$B$17-'Sources &amp; Uses'!$B$18)&gt;0,(MAX(0,(Returns!$B$10*C$5)-Returns!$B$15+Returns!$B$16-(Returns!$B$10*C$5)*Assumptions!$B$21)/((Assumptions!$B$5*$A10)*(1+Assumptions!$B$10)+'Sources &amp; Uses'!$B$13+Assumptions!$B$9-'Sources &amp; Uses'!$B$17-'Sources &amp; Uses'!$B$18))^(1/Assumptions!$B$19)-1,"N/M")</f>
        <v/>
      </c>
      <c r="D10" s="129">
        <f>IF(((Assumptions!$B$5*$A10)*(1+Assumptions!$B$10)+'Sources &amp; Uses'!$B$13+Assumptions!$B$9-'Sources &amp; Uses'!$B$17-'Sources &amp; Uses'!$B$18)&gt;0,(MAX(0,(Returns!$B$10*D$5)-Returns!$B$15+Returns!$B$16-(Returns!$B$10*D$5)*Assumptions!$B$21)/((Assumptions!$B$5*$A10)*(1+Assumptions!$B$10)+'Sources &amp; Uses'!$B$13+Assumptions!$B$9-'Sources &amp; Uses'!$B$17-'Sources &amp; Uses'!$B$18))^(1/Assumptions!$B$19)-1,"N/M")</f>
        <v/>
      </c>
      <c r="E10" s="129">
        <f>IF(((Assumptions!$B$5*$A10)*(1+Assumptions!$B$10)+'Sources &amp; Uses'!$B$13+Assumptions!$B$9-'Sources &amp; Uses'!$B$17-'Sources &amp; Uses'!$B$18)&gt;0,(MAX(0,(Returns!$B$10*E$5)-Returns!$B$15+Returns!$B$16-(Returns!$B$10*E$5)*Assumptions!$B$21)/((Assumptions!$B$5*$A10)*(1+Assumptions!$B$10)+'Sources &amp; Uses'!$B$13+Assumptions!$B$9-'Sources &amp; Uses'!$B$17-'Sources &amp; Uses'!$B$18))^(1/Assumptions!$B$19)-1,"N/M")</f>
        <v/>
      </c>
      <c r="F10" s="129">
        <f>IF(((Assumptions!$B$5*$A10)*(1+Assumptions!$B$10)+'Sources &amp; Uses'!$B$13+Assumptions!$B$9-'Sources &amp; Uses'!$B$17-'Sources &amp; Uses'!$B$18)&gt;0,(MAX(0,(Returns!$B$10*F$5)-Returns!$B$15+Returns!$B$16-(Returns!$B$10*F$5)*Assumptions!$B$21)/((Assumptions!$B$5*$A10)*(1+Assumptions!$B$10)+'Sources &amp; Uses'!$B$13+Assumptions!$B$9-'Sources &amp; Uses'!$B$17-'Sources &amp; Uses'!$B$18))^(1/Assumptions!$B$19)-1,"N/M")</f>
        <v/>
      </c>
      <c r="G10" s="79" t="n"/>
    </row>
    <row r="11"/>
    <row r="12"/>
    <row r="13" ht="18" customHeight="1" s="74">
      <c r="A13" s="77" t="inlineStr">
        <is>
          <t>Student Template — Sponsor IRR</t>
        </is>
      </c>
    </row>
    <row r="14" ht="28.5" customHeight="1" s="74">
      <c r="A14" s="86" t="inlineStr">
        <is>
          <t>Entry Multiple / Exit Multiple</t>
        </is>
      </c>
      <c r="B14" s="133">
        <f>Assumptions!C20*0.75</f>
        <v/>
      </c>
      <c r="C14" s="133">
        <f>Assumptions!C20*0.875</f>
        <v/>
      </c>
      <c r="D14" s="133">
        <f>Assumptions!C20*1</f>
        <v/>
      </c>
      <c r="E14" s="133">
        <f>Assumptions!C20*1.125</f>
        <v/>
      </c>
      <c r="F14" s="133">
        <f>Assumptions!C20*1.25</f>
        <v/>
      </c>
      <c r="G14" s="86" t="inlineStr">
        <is>
          <t>Base case highlighted</t>
        </is>
      </c>
    </row>
    <row r="15" ht="15" customHeight="1" s="74">
      <c r="A15" s="125">
        <f>Assumptions!C6*0.75</f>
        <v/>
      </c>
      <c r="B15" s="129">
        <f>IF(((Assumptions!$C$5*$A15)*(1+Assumptions!$C$10)+'Sources &amp; Uses'!$E$13+Assumptions!$C$9-'Sources &amp; Uses'!$E$17-'Sources &amp; Uses'!$E$18)&gt;0,(MAX(0,(Returns!$E$10*B$14)-Returns!$E$15+Returns!$E$16-(Returns!$E$10*B$14)*Assumptions!$C$21)/((Assumptions!$C$5*$A15)*(1+Assumptions!$C$10)+'Sources &amp; Uses'!$E$13+Assumptions!$C$9-'Sources &amp; Uses'!$E$17-'Sources &amp; Uses'!$E$18))^(1/Assumptions!$C$19)-1,"N/M")</f>
        <v/>
      </c>
      <c r="C15" s="129">
        <f>IF(((Assumptions!$C$5*$A15)*(1+Assumptions!$C$10)+'Sources &amp; Uses'!$E$13+Assumptions!$C$9-'Sources &amp; Uses'!$E$17-'Sources &amp; Uses'!$E$18)&gt;0,(MAX(0,(Returns!$E$10*C$14)-Returns!$E$15+Returns!$E$16-(Returns!$E$10*C$14)*Assumptions!$C$21)/((Assumptions!$C$5*$A15)*(1+Assumptions!$C$10)+'Sources &amp; Uses'!$E$13+Assumptions!$C$9-'Sources &amp; Uses'!$E$17-'Sources &amp; Uses'!$E$18))^(1/Assumptions!$C$19)-1,"N/M")</f>
        <v/>
      </c>
      <c r="D15" s="129">
        <f>IF(((Assumptions!$C$5*$A15)*(1+Assumptions!$C$10)+'Sources &amp; Uses'!$E$13+Assumptions!$C$9-'Sources &amp; Uses'!$E$17-'Sources &amp; Uses'!$E$18)&gt;0,(MAX(0,(Returns!$E$10*D$14)-Returns!$E$15+Returns!$E$16-(Returns!$E$10*D$14)*Assumptions!$C$21)/((Assumptions!$C$5*$A15)*(1+Assumptions!$C$10)+'Sources &amp; Uses'!$E$13+Assumptions!$C$9-'Sources &amp; Uses'!$E$17-'Sources &amp; Uses'!$E$18))^(1/Assumptions!$C$19)-1,"N/M")</f>
        <v/>
      </c>
      <c r="E15" s="129">
        <f>IF(((Assumptions!$C$5*$A15)*(1+Assumptions!$C$10)+'Sources &amp; Uses'!$E$13+Assumptions!$C$9-'Sources &amp; Uses'!$E$17-'Sources &amp; Uses'!$E$18)&gt;0,(MAX(0,(Returns!$E$10*E$14)-Returns!$E$15+Returns!$E$16-(Returns!$E$10*E$14)*Assumptions!$C$21)/((Assumptions!$C$5*$A15)*(1+Assumptions!$C$10)+'Sources &amp; Uses'!$E$13+Assumptions!$C$9-'Sources &amp; Uses'!$E$17-'Sources &amp; Uses'!$E$18))^(1/Assumptions!$C$19)-1,"N/M")</f>
        <v/>
      </c>
      <c r="F15" s="129">
        <f>IF(((Assumptions!$C$5*$A15)*(1+Assumptions!$C$10)+'Sources &amp; Uses'!$E$13+Assumptions!$C$9-'Sources &amp; Uses'!$E$17-'Sources &amp; Uses'!$E$18)&gt;0,(MAX(0,(Returns!$E$10*F$14)-Returns!$E$15+Returns!$E$16-(Returns!$E$10*F$14)*Assumptions!$C$21)/((Assumptions!$C$5*$A15)*(1+Assumptions!$C$10)+'Sources &amp; Uses'!$E$13+Assumptions!$C$9-'Sources &amp; Uses'!$E$17-'Sources &amp; Uses'!$E$18))^(1/Assumptions!$C$19)-1,"N/M")</f>
        <v/>
      </c>
      <c r="G15" s="79" t="n"/>
    </row>
    <row r="16" ht="15" customHeight="1" s="74">
      <c r="A16" s="125">
        <f>Assumptions!C6*0.875</f>
        <v/>
      </c>
      <c r="B16" s="129">
        <f>IF(((Assumptions!$C$5*$A16)*(1+Assumptions!$C$10)+'Sources &amp; Uses'!$E$13+Assumptions!$C$9-'Sources &amp; Uses'!$E$17-'Sources &amp; Uses'!$E$18)&gt;0,(MAX(0,(Returns!$E$10*B$14)-Returns!$E$15+Returns!$E$16-(Returns!$E$10*B$14)*Assumptions!$C$21)/((Assumptions!$C$5*$A16)*(1+Assumptions!$C$10)+'Sources &amp; Uses'!$E$13+Assumptions!$C$9-'Sources &amp; Uses'!$E$17-'Sources &amp; Uses'!$E$18))^(1/Assumptions!$C$19)-1,"N/M")</f>
        <v/>
      </c>
      <c r="C16" s="129">
        <f>IF(((Assumptions!$C$5*$A16)*(1+Assumptions!$C$10)+'Sources &amp; Uses'!$E$13+Assumptions!$C$9-'Sources &amp; Uses'!$E$17-'Sources &amp; Uses'!$E$18)&gt;0,(MAX(0,(Returns!$E$10*C$14)-Returns!$E$15+Returns!$E$16-(Returns!$E$10*C$14)*Assumptions!$C$21)/((Assumptions!$C$5*$A16)*(1+Assumptions!$C$10)+'Sources &amp; Uses'!$E$13+Assumptions!$C$9-'Sources &amp; Uses'!$E$17-'Sources &amp; Uses'!$E$18))^(1/Assumptions!$C$19)-1,"N/M")</f>
        <v/>
      </c>
      <c r="D16" s="129">
        <f>IF(((Assumptions!$C$5*$A16)*(1+Assumptions!$C$10)+'Sources &amp; Uses'!$E$13+Assumptions!$C$9-'Sources &amp; Uses'!$E$17-'Sources &amp; Uses'!$E$18)&gt;0,(MAX(0,(Returns!$E$10*D$14)-Returns!$E$15+Returns!$E$16-(Returns!$E$10*D$14)*Assumptions!$C$21)/((Assumptions!$C$5*$A16)*(1+Assumptions!$C$10)+'Sources &amp; Uses'!$E$13+Assumptions!$C$9-'Sources &amp; Uses'!$E$17-'Sources &amp; Uses'!$E$18))^(1/Assumptions!$C$19)-1,"N/M")</f>
        <v/>
      </c>
      <c r="E16" s="129">
        <f>IF(((Assumptions!$C$5*$A16)*(1+Assumptions!$C$10)+'Sources &amp; Uses'!$E$13+Assumptions!$C$9-'Sources &amp; Uses'!$E$17-'Sources &amp; Uses'!$E$18)&gt;0,(MAX(0,(Returns!$E$10*E$14)-Returns!$E$15+Returns!$E$16-(Returns!$E$10*E$14)*Assumptions!$C$21)/((Assumptions!$C$5*$A16)*(1+Assumptions!$C$10)+'Sources &amp; Uses'!$E$13+Assumptions!$C$9-'Sources &amp; Uses'!$E$17-'Sources &amp; Uses'!$E$18))^(1/Assumptions!$C$19)-1,"N/M")</f>
        <v/>
      </c>
      <c r="F16" s="129">
        <f>IF(((Assumptions!$C$5*$A16)*(1+Assumptions!$C$10)+'Sources &amp; Uses'!$E$13+Assumptions!$C$9-'Sources &amp; Uses'!$E$17-'Sources &amp; Uses'!$E$18)&gt;0,(MAX(0,(Returns!$E$10*F$14)-Returns!$E$15+Returns!$E$16-(Returns!$E$10*F$14)*Assumptions!$C$21)/((Assumptions!$C$5*$A16)*(1+Assumptions!$C$10)+'Sources &amp; Uses'!$E$13+Assumptions!$C$9-'Sources &amp; Uses'!$E$17-'Sources &amp; Uses'!$E$18))^(1/Assumptions!$C$19)-1,"N/M")</f>
        <v/>
      </c>
      <c r="G16" s="79" t="n"/>
    </row>
    <row r="17" ht="15" customHeight="1" s="74">
      <c r="A17" s="125">
        <f>Assumptions!C6*1</f>
        <v/>
      </c>
      <c r="B17" s="129">
        <f>IF(((Assumptions!$C$5*$A17)*(1+Assumptions!$C$10)+'Sources &amp; Uses'!$E$13+Assumptions!$C$9-'Sources &amp; Uses'!$E$17-'Sources &amp; Uses'!$E$18)&gt;0,(MAX(0,(Returns!$E$10*B$14)-Returns!$E$15+Returns!$E$16-(Returns!$E$10*B$14)*Assumptions!$C$21)/((Assumptions!$C$5*$A17)*(1+Assumptions!$C$10)+'Sources &amp; Uses'!$E$13+Assumptions!$C$9-'Sources &amp; Uses'!$E$17-'Sources &amp; Uses'!$E$18))^(1/Assumptions!$C$19)-1,"N/M")</f>
        <v/>
      </c>
      <c r="C17" s="129">
        <f>IF(((Assumptions!$C$5*$A17)*(1+Assumptions!$C$10)+'Sources &amp; Uses'!$E$13+Assumptions!$C$9-'Sources &amp; Uses'!$E$17-'Sources &amp; Uses'!$E$18)&gt;0,(MAX(0,(Returns!$E$10*C$14)-Returns!$E$15+Returns!$E$16-(Returns!$E$10*C$14)*Assumptions!$C$21)/((Assumptions!$C$5*$A17)*(1+Assumptions!$C$10)+'Sources &amp; Uses'!$E$13+Assumptions!$C$9-'Sources &amp; Uses'!$E$17-'Sources &amp; Uses'!$E$18))^(1/Assumptions!$C$19)-1,"N/M")</f>
        <v/>
      </c>
      <c r="D17" s="134">
        <f>IF(((Assumptions!$C$5*$A17)*(1+Assumptions!$C$10)+'Sources &amp; Uses'!$E$13+Assumptions!$C$9-'Sources &amp; Uses'!$E$17-'Sources &amp; Uses'!$E$18)&gt;0,(MAX(0,(Returns!$E$10*D$14)-Returns!$E$15+Returns!$E$16-(Returns!$E$10*D$14)*Assumptions!$C$21)/((Assumptions!$C$5*$A17)*(1+Assumptions!$C$10)+'Sources &amp; Uses'!$E$13+Assumptions!$C$9-'Sources &amp; Uses'!$E$17-'Sources &amp; Uses'!$E$18))^(1/Assumptions!$C$19)-1,"N/M")</f>
        <v/>
      </c>
      <c r="E17" s="129">
        <f>IF(((Assumptions!$C$5*$A17)*(1+Assumptions!$C$10)+'Sources &amp; Uses'!$E$13+Assumptions!$C$9-'Sources &amp; Uses'!$E$17-'Sources &amp; Uses'!$E$18)&gt;0,(MAX(0,(Returns!$E$10*E$14)-Returns!$E$15+Returns!$E$16-(Returns!$E$10*E$14)*Assumptions!$C$21)/((Assumptions!$C$5*$A17)*(1+Assumptions!$C$10)+'Sources &amp; Uses'!$E$13+Assumptions!$C$9-'Sources &amp; Uses'!$E$17-'Sources &amp; Uses'!$E$18))^(1/Assumptions!$C$19)-1,"N/M")</f>
        <v/>
      </c>
      <c r="F17" s="129">
        <f>IF(((Assumptions!$C$5*$A17)*(1+Assumptions!$C$10)+'Sources &amp; Uses'!$E$13+Assumptions!$C$9-'Sources &amp; Uses'!$E$17-'Sources &amp; Uses'!$E$18)&gt;0,(MAX(0,(Returns!$E$10*F$14)-Returns!$E$15+Returns!$E$16-(Returns!$E$10*F$14)*Assumptions!$C$21)/((Assumptions!$C$5*$A17)*(1+Assumptions!$C$10)+'Sources &amp; Uses'!$E$13+Assumptions!$C$9-'Sources &amp; Uses'!$E$17-'Sources &amp; Uses'!$E$18))^(1/Assumptions!$C$19)-1,"N/M")</f>
        <v/>
      </c>
      <c r="G17" s="79" t="inlineStr">
        <is>
          <t>Base entry multiple</t>
        </is>
      </c>
    </row>
    <row r="18" ht="15" customHeight="1" s="74">
      <c r="A18" s="125">
        <f>Assumptions!C6*1.125</f>
        <v/>
      </c>
      <c r="B18" s="129">
        <f>IF(((Assumptions!$C$5*$A18)*(1+Assumptions!$C$10)+'Sources &amp; Uses'!$E$13+Assumptions!$C$9-'Sources &amp; Uses'!$E$17-'Sources &amp; Uses'!$E$18)&gt;0,(MAX(0,(Returns!$E$10*B$14)-Returns!$E$15+Returns!$E$16-(Returns!$E$10*B$14)*Assumptions!$C$21)/((Assumptions!$C$5*$A18)*(1+Assumptions!$C$10)+'Sources &amp; Uses'!$E$13+Assumptions!$C$9-'Sources &amp; Uses'!$E$17-'Sources &amp; Uses'!$E$18))^(1/Assumptions!$C$19)-1,"N/M")</f>
        <v/>
      </c>
      <c r="C18" s="129">
        <f>IF(((Assumptions!$C$5*$A18)*(1+Assumptions!$C$10)+'Sources &amp; Uses'!$E$13+Assumptions!$C$9-'Sources &amp; Uses'!$E$17-'Sources &amp; Uses'!$E$18)&gt;0,(MAX(0,(Returns!$E$10*C$14)-Returns!$E$15+Returns!$E$16-(Returns!$E$10*C$14)*Assumptions!$C$21)/((Assumptions!$C$5*$A18)*(1+Assumptions!$C$10)+'Sources &amp; Uses'!$E$13+Assumptions!$C$9-'Sources &amp; Uses'!$E$17-'Sources &amp; Uses'!$E$18))^(1/Assumptions!$C$19)-1,"N/M")</f>
        <v/>
      </c>
      <c r="D18" s="129">
        <f>IF(((Assumptions!$C$5*$A18)*(1+Assumptions!$C$10)+'Sources &amp; Uses'!$E$13+Assumptions!$C$9-'Sources &amp; Uses'!$E$17-'Sources &amp; Uses'!$E$18)&gt;0,(MAX(0,(Returns!$E$10*D$14)-Returns!$E$15+Returns!$E$16-(Returns!$E$10*D$14)*Assumptions!$C$21)/((Assumptions!$C$5*$A18)*(1+Assumptions!$C$10)+'Sources &amp; Uses'!$E$13+Assumptions!$C$9-'Sources &amp; Uses'!$E$17-'Sources &amp; Uses'!$E$18))^(1/Assumptions!$C$19)-1,"N/M")</f>
        <v/>
      </c>
      <c r="E18" s="129">
        <f>IF(((Assumptions!$C$5*$A18)*(1+Assumptions!$C$10)+'Sources &amp; Uses'!$E$13+Assumptions!$C$9-'Sources &amp; Uses'!$E$17-'Sources &amp; Uses'!$E$18)&gt;0,(MAX(0,(Returns!$E$10*E$14)-Returns!$E$15+Returns!$E$16-(Returns!$E$10*E$14)*Assumptions!$C$21)/((Assumptions!$C$5*$A18)*(1+Assumptions!$C$10)+'Sources &amp; Uses'!$E$13+Assumptions!$C$9-'Sources &amp; Uses'!$E$17-'Sources &amp; Uses'!$E$18))^(1/Assumptions!$C$19)-1,"N/M")</f>
        <v/>
      </c>
      <c r="F18" s="129">
        <f>IF(((Assumptions!$C$5*$A18)*(1+Assumptions!$C$10)+'Sources &amp; Uses'!$E$13+Assumptions!$C$9-'Sources &amp; Uses'!$E$17-'Sources &amp; Uses'!$E$18)&gt;0,(MAX(0,(Returns!$E$10*F$14)-Returns!$E$15+Returns!$E$16-(Returns!$E$10*F$14)*Assumptions!$C$21)/((Assumptions!$C$5*$A18)*(1+Assumptions!$C$10)+'Sources &amp; Uses'!$E$13+Assumptions!$C$9-'Sources &amp; Uses'!$E$17-'Sources &amp; Uses'!$E$18))^(1/Assumptions!$C$19)-1,"N/M")</f>
        <v/>
      </c>
      <c r="G18" s="79" t="n"/>
    </row>
    <row r="19" ht="15" customHeight="1" s="74">
      <c r="A19" s="125">
        <f>Assumptions!C6*1.25</f>
        <v/>
      </c>
      <c r="B19" s="129">
        <f>IF(((Assumptions!$C$5*$A19)*(1+Assumptions!$C$10)+'Sources &amp; Uses'!$E$13+Assumptions!$C$9-'Sources &amp; Uses'!$E$17-'Sources &amp; Uses'!$E$18)&gt;0,(MAX(0,(Returns!$E$10*B$14)-Returns!$E$15+Returns!$E$16-(Returns!$E$10*B$14)*Assumptions!$C$21)/((Assumptions!$C$5*$A19)*(1+Assumptions!$C$10)+'Sources &amp; Uses'!$E$13+Assumptions!$C$9-'Sources &amp; Uses'!$E$17-'Sources &amp; Uses'!$E$18))^(1/Assumptions!$C$19)-1,"N/M")</f>
        <v/>
      </c>
      <c r="C19" s="129">
        <f>IF(((Assumptions!$C$5*$A19)*(1+Assumptions!$C$10)+'Sources &amp; Uses'!$E$13+Assumptions!$C$9-'Sources &amp; Uses'!$E$17-'Sources &amp; Uses'!$E$18)&gt;0,(MAX(0,(Returns!$E$10*C$14)-Returns!$E$15+Returns!$E$16-(Returns!$E$10*C$14)*Assumptions!$C$21)/((Assumptions!$C$5*$A19)*(1+Assumptions!$C$10)+'Sources &amp; Uses'!$E$13+Assumptions!$C$9-'Sources &amp; Uses'!$E$17-'Sources &amp; Uses'!$E$18))^(1/Assumptions!$C$19)-1,"N/M")</f>
        <v/>
      </c>
      <c r="D19" s="129">
        <f>IF(((Assumptions!$C$5*$A19)*(1+Assumptions!$C$10)+'Sources &amp; Uses'!$E$13+Assumptions!$C$9-'Sources &amp; Uses'!$E$17-'Sources &amp; Uses'!$E$18)&gt;0,(MAX(0,(Returns!$E$10*D$14)-Returns!$E$15+Returns!$E$16-(Returns!$E$10*D$14)*Assumptions!$C$21)/((Assumptions!$C$5*$A19)*(1+Assumptions!$C$10)+'Sources &amp; Uses'!$E$13+Assumptions!$C$9-'Sources &amp; Uses'!$E$17-'Sources &amp; Uses'!$E$18))^(1/Assumptions!$C$19)-1,"N/M")</f>
        <v/>
      </c>
      <c r="E19" s="129">
        <f>IF(((Assumptions!$C$5*$A19)*(1+Assumptions!$C$10)+'Sources &amp; Uses'!$E$13+Assumptions!$C$9-'Sources &amp; Uses'!$E$17-'Sources &amp; Uses'!$E$18)&gt;0,(MAX(0,(Returns!$E$10*E$14)-Returns!$E$15+Returns!$E$16-(Returns!$E$10*E$14)*Assumptions!$C$21)/((Assumptions!$C$5*$A19)*(1+Assumptions!$C$10)+'Sources &amp; Uses'!$E$13+Assumptions!$C$9-'Sources &amp; Uses'!$E$17-'Sources &amp; Uses'!$E$18))^(1/Assumptions!$C$19)-1,"N/M")</f>
        <v/>
      </c>
      <c r="F19" s="129">
        <f>IF(((Assumptions!$C$5*$A19)*(1+Assumptions!$C$10)+'Sources &amp; Uses'!$E$13+Assumptions!$C$9-'Sources &amp; Uses'!$E$17-'Sources &amp; Uses'!$E$18)&gt;0,(MAX(0,(Returns!$E$10*F$14)-Returns!$E$15+Returns!$E$16-(Returns!$E$10*F$14)*Assumptions!$C$21)/((Assumptions!$C$5*$A19)*(1+Assumptions!$C$10)+'Sources &amp; Uses'!$E$13+Assumptions!$C$9-'Sources &amp; Uses'!$E$17-'Sources &amp; Uses'!$E$18))^(1/Assumptions!$C$19)-1,"N/M")</f>
        <v/>
      </c>
      <c r="G19" s="79" t="n"/>
    </row>
  </sheetData>
  <mergeCells count="4">
    <mergeCell ref="A13:G13"/>
    <mergeCell ref="A2:G2"/>
    <mergeCell ref="A1:G1"/>
    <mergeCell ref="A4:G4"/>
  </mergeCells>
  <printOptions horizontalCentered="0" verticalCentered="0" headings="0" gridLines="0" gridLinesSet="1"/>
  <pageMargins left="0.75" right="0.75" top="1" bottom="1" header="0.511811023622047" footer="0.5"/>
  <pageSetup orientation="landscape" paperSize="1" scale="100" fitToHeight="1" fitToWidth="1" pageOrder="downThenOver" blackAndWhite="0" draft="0" horizontalDpi="300" verticalDpi="300" copies="1"/>
  <headerFooter differentOddEven="0" differentFirst="0">
    <oddHeader/>
    <oddFooter>&amp;CFIN 4004 Valuation Teaching System&amp;RPage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FIN 4004 Valuation Teaching System</dc:creator>
  <dc:title xmlns:dc="http://purl.org/dc/elements/1.1/">Whole Foods Market, Inc. - Leveraged Buyout Returns</dc:title>
  <dc:description xmlns:dc="http://purl.org/dc/elements/1.1/">Formula-driven automated and student-editable valuation workbook. Blue cells are editable assumptions; green formulas link within the workbook.</dc:description>
  <dc:subject xmlns:dc="http://purl.org/dc/elements/1.1/">FIN 4004 step-by-step valuation teaching model</dc:subject>
  <dc:language xmlns:dc="http://purl.org/dc/elements/1.1/">en-US</dc:language>
  <dcterms:created xmlns:dcterms="http://purl.org/dc/terms/" xmlns:xsi="http://www.w3.org/2001/XMLSchema-instance" xsi:type="dcterms:W3CDTF">2026-08-19T14:34:16Z</dcterms:created>
  <dcterms:modified xmlns:dcterms="http://purl.org/dc/terms/" xmlns:xsi="http://www.w3.org/2001/XMLSchema-instance" xsi:type="dcterms:W3CDTF">2026-08-27T20:40:54Z</dcterms:modified>
  <cp:revision>0</cp:revision>
</cp:coreProperties>
</file>