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/comment1.xml" ContentType="application/vnd.openxmlformats-officedocument.spreadsheetml.comments+xml"/>
  <Override PartName="/xl/worksheets/sheet4.xml" ContentType="application/vnd.openxmlformats-officedocument.spreadsheetml.worksheet+xml"/>
  <Override PartName="/xl/comments/comment2.xml" ContentType="application/vnd.openxmlformats-officedocument.spreadsheetml.comment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/comment3.xml" ContentType="application/vnd.openxmlformats-officedocument.spreadsheetml.comments+xml"/>
  <Override PartName="/xl/worksheets/sheet7.xml" ContentType="application/vnd.openxmlformats-officedocument.spreadsheetml.worksheet+xml"/>
  <Override PartName="/xl/comments/comment4.xml" ContentType="application/vnd.openxmlformats-officedocument.spreadsheetml.comments+xml"/>
  <Override PartName="/xl/worksheets/sheet8.xml" ContentType="application/vnd.openxmlformats-officedocument.spreadsheetml.worksheet+xml"/>
  <Override PartName="/xl/comments/comment5.xml" ContentType="application/vnd.openxmlformats-officedocument.spreadsheetml.comments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Guide" sheetId="2" state="visible" r:id="rId2"/>
    <sheet xmlns:r="http://schemas.openxmlformats.org/officeDocument/2006/relationships" name="Transaction Screening" sheetId="3" state="visible" r:id="rId3"/>
    <sheet xmlns:r="http://schemas.openxmlformats.org/officeDocument/2006/relationships" name="Source Data" sheetId="4" state="visible" r:id="rId4"/>
    <sheet xmlns:r="http://schemas.openxmlformats.org/officeDocument/2006/relationships" name="Precedent Transactions" sheetId="5" state="visible" r:id="rId5"/>
    <sheet xmlns:r="http://schemas.openxmlformats.org/officeDocument/2006/relationships" name="Benchmarking" sheetId="6" state="visible" r:id="rId6"/>
    <sheet xmlns:r="http://schemas.openxmlformats.org/officeDocument/2006/relationships" name="Valuation" sheetId="7" state="visible" r:id="rId7"/>
    <sheet xmlns:r="http://schemas.openxmlformats.org/officeDocument/2006/relationships" name="Assumptions" sheetId="8" state="visible" r:id="rId8"/>
    <sheet xmlns:r="http://schemas.openxmlformats.org/officeDocument/2006/relationships" name="Checks" sheetId="9" state="visible" r:id="rId9"/>
    <sheet xmlns:r="http://schemas.openxmlformats.org/officeDocument/2006/relationships" name="Sources" sheetId="10" state="visible" r:id="rId10"/>
  </sheets>
  <definedNames>
    <definedName name="_xlnm.Print_Area" localSheetId="0">'Cover'!$A$1:$H$35</definedName>
    <definedName name="_xlnm.Print_Area" localSheetId="1">'Guide'!$A$1:$G$16</definedName>
    <definedName name="_xlnm._FilterDatabase" localSheetId="2" hidden="1">'Transaction Screening'!$A$5:$L$17</definedName>
    <definedName name="_xlnm.Print_Area" localSheetId="2">'Transaction Screening'!$A$1:$L$17</definedName>
    <definedName name="_xlnm.Print_Area" localSheetId="3">'Source Data'!$A$1:$W$26</definedName>
    <definedName name="_xlnm.Print_Area" localSheetId="4">'Precedent Transactions'!$A$1:$Y$40</definedName>
    <definedName name="_xlnm.Print_Area" localSheetId="5">'Benchmarking'!$A$1:$N$39</definedName>
    <definedName name="_xlnm.Print_Area" localSheetId="6">'Valuation'!$A$1:$W$22</definedName>
    <definedName name="_xlnm.Print_Area" localSheetId="7">'Assumptions'!$A$1:$F$26</definedName>
    <definedName name="_xlnm.Print_Area" localSheetId="8">'Checks'!$A$1:$H$24</definedName>
    <definedName name="_xlnm._FilterDatabase" localSheetId="9" hidden="1">'Sources'!$A$4:$H$19</definedName>
    <definedName name="_xlnm.Print_Area" localSheetId="9">'Sources'!$A$1:$H$19</definedName>
  </definedNames>
  <calcPr calcId="124519" calcMode="auto" fullCalcOnLoad="1" refMode="A1" iterate="0" iterateCount="100" iterateDelta="0.0001" forceFullCalc="1"/>
</workbook>
</file>

<file path=xl/styles.xml><?xml version="1.0" encoding="utf-8"?>
<styleSheet xmlns="http://schemas.openxmlformats.org/spreadsheetml/2006/main">
  <numFmts count="9">
    <numFmt numFmtId="164" formatCode="mmm\ d&quot;, &quot;yyyy"/>
    <numFmt numFmtId="165" formatCode="\$0.00;[RED]&quot;($&quot;0.00\);\-"/>
    <numFmt numFmtId="166" formatCode="0.0"/>
    <numFmt numFmtId="167" formatCode="\$#,##0;[RED]&quot;($&quot;#,##0\);\-"/>
    <numFmt numFmtId="168" formatCode="yyyy\A"/>
    <numFmt numFmtId="169" formatCode="#,##0.0;[RED]\(#,##0.0\);\-"/>
    <numFmt numFmtId="170" formatCode="0.0\x;[RED]\(0.0&quot;x)&quot;;\-"/>
    <numFmt numFmtId="171" formatCode="0.0%;[RED]\(0.0%\);\-"/>
    <numFmt numFmtId="172" formatCode="yyyy\-mm\-dd"/>
  </numFmts>
  <fonts count="2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5"/>
    </font>
    <font>
      <name val="Arial"/>
      <charset val="1"/>
      <family val="0"/>
      <i val="1"/>
      <color rgb="FF666666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000000"/>
      <sz val="9"/>
    </font>
    <font>
      <name val="Arial"/>
      <charset val="1"/>
      <family val="0"/>
      <color rgb="FF000000"/>
      <sz val="11"/>
    </font>
    <font>
      <name val="Arial"/>
      <charset val="1"/>
      <family val="0"/>
      <b val="1"/>
      <color rgb="FF17365D"/>
      <sz val="18"/>
    </font>
    <font>
      <name val="Arial"/>
      <charset val="1"/>
      <family val="0"/>
      <i val="1"/>
      <color rgb="FF000000"/>
      <sz val="9"/>
    </font>
    <font>
      <name val="Arial"/>
      <charset val="1"/>
      <family val="0"/>
      <color rgb="FF008000"/>
      <sz val="9"/>
    </font>
    <font>
      <name val="Arial"/>
      <charset val="1"/>
      <family val="0"/>
      <b val="1"/>
      <color rgb="FF000000"/>
      <sz val="11"/>
    </font>
    <font>
      <name val="Arial"/>
      <charset val="1"/>
      <family val="0"/>
      <b val="1"/>
      <color rgb="FF008000"/>
      <sz val="9"/>
    </font>
    <font>
      <name val="Arial"/>
      <charset val="1"/>
      <family val="0"/>
      <color rgb="FF000000"/>
      <sz val="10"/>
    </font>
    <font>
      <name val="Arial"/>
      <charset val="1"/>
      <family val="0"/>
      <b val="1"/>
      <color rgb="FF0000FF"/>
      <sz val="9"/>
    </font>
    <font>
      <name val="Arial"/>
      <charset val="1"/>
      <family val="0"/>
      <color rgb="FF000000"/>
      <sz val="9"/>
    </font>
    <font>
      <name val="Calibri"/>
      <charset val="1"/>
      <family val="0"/>
      <b val="1"/>
      <color rgb="FF000000"/>
      <sz val="11"/>
    </font>
    <font>
      <name val="Arial"/>
      <charset val="1"/>
      <family val="0"/>
      <color rgb="FF0000FF"/>
      <sz val="9"/>
    </font>
    <font>
      <name val="Arial"/>
      <family val="2"/>
      <sz val="10"/>
    </font>
    <font>
      <name val="Arial"/>
      <charset val="1"/>
      <family val="0"/>
      <color rgb="FF0563C1"/>
      <sz val="9"/>
      <u val="single"/>
    </font>
  </fonts>
  <fills count="8">
    <fill>
      <patternFill/>
    </fill>
    <fill>
      <patternFill patternType="gray125"/>
    </fill>
    <fill>
      <patternFill patternType="solid">
        <fgColor rgb="FF17365D"/>
        <bgColor rgb="FF333333"/>
      </patternFill>
    </fill>
    <fill>
      <patternFill patternType="solid">
        <fgColor rgb="FFD9E1F2"/>
        <bgColor rgb="FFD9EAF7"/>
      </patternFill>
    </fill>
    <fill>
      <patternFill patternType="solid">
        <fgColor rgb="FFE2F0D9"/>
        <bgColor rgb="FFD9EAF7"/>
      </patternFill>
    </fill>
    <fill>
      <patternFill patternType="solid">
        <fgColor rgb="FFD9EAF7"/>
        <bgColor rgb="FFD9E1F2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CE4D6"/>
      </patternFill>
    </fill>
  </fills>
  <borders count="7">
    <border>
      <left/>
      <right/>
      <top/>
      <bottom/>
      <diagonal/>
    </border>
    <border>
      <left style="medium">
        <color rgb="FF17365D"/>
      </left>
      <right/>
      <top style="medium">
        <color rgb="FF17365D"/>
      </top>
      <bottom/>
      <diagonal/>
    </border>
    <border>
      <left/>
      <right/>
      <top/>
      <bottom style="thin">
        <color rgb="FFB7B7B7"/>
      </bottom>
      <diagonal/>
    </border>
    <border>
      <left/>
      <right/>
      <top style="thin"/>
      <bottom/>
      <diagonal/>
    </border>
    <border>
      <left/>
      <right/>
      <top/>
      <bottom style="hair">
        <color rgb="FFD9D9D9"/>
      </bottom>
      <diagonal/>
    </border>
    <border>
      <left/>
      <right/>
      <top style="medium">
        <color rgb="FF17365D"/>
      </top>
      <bottom/>
      <diagonal/>
    </border>
    <border>
      <left style="medium">
        <color rgb="FF17365D"/>
      </left>
      <right/>
      <top/>
      <bottom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66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general" vertical="center" wrapText="1"/>
    </xf>
    <xf numFmtId="0" fontId="6" fillId="2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8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top" wrapText="1"/>
    </xf>
    <xf numFmtId="0" fontId="11" fillId="0" borderId="0" applyAlignment="1" pivotButton="0" quotePrefix="0" xfId="0">
      <alignment horizontal="right" vertical="top" wrapText="1"/>
    </xf>
    <xf numFmtId="0" fontId="7" fillId="3" borderId="2" applyAlignment="1" pivotButton="0" quotePrefix="0" xfId="0">
      <alignment horizontal="center" vertical="center" wrapText="1"/>
    </xf>
    <xf numFmtId="0" fontId="12" fillId="4" borderId="3" applyAlignment="1" pivotButton="0" quotePrefix="0" xfId="0">
      <alignment horizontal="general" vertical="bottom"/>
    </xf>
    <xf numFmtId="165" fontId="13" fillId="4" borderId="3" applyAlignment="1" pivotButton="0" quotePrefix="0" xfId="0">
      <alignment horizontal="right" vertical="bottom"/>
    </xf>
    <xf numFmtId="165" fontId="7" fillId="4" borderId="3" applyAlignment="1" pivotButton="0" quotePrefix="0" xfId="0">
      <alignment horizontal="right" vertical="bottom"/>
    </xf>
    <xf numFmtId="0" fontId="12" fillId="4" borderId="3" applyAlignment="1" pivotButton="0" quotePrefix="0" xfId="0">
      <alignment horizontal="general" vertical="bottom" wrapText="1"/>
    </xf>
    <xf numFmtId="0" fontId="14" fillId="0" borderId="0" applyAlignment="1" pivotButton="0" quotePrefix="0" xfId="0">
      <alignment horizontal="general" vertical="bottom"/>
    </xf>
    <xf numFmtId="0" fontId="15" fillId="5" borderId="0" applyAlignment="1" pivotButton="0" quotePrefix="0" xfId="0">
      <alignment horizontal="general" vertical="bottom"/>
    </xf>
    <xf numFmtId="0" fontId="13" fillId="6" borderId="0" applyAlignment="1" pivotButton="0" quotePrefix="0" xfId="0">
      <alignment horizontal="general" vertical="bottom"/>
    </xf>
    <xf numFmtId="0" fontId="7" fillId="6" borderId="0" applyAlignment="1" pivotButton="0" quotePrefix="0" xfId="0">
      <alignment horizontal="general" vertical="bottom"/>
    </xf>
    <xf numFmtId="0" fontId="7" fillId="7" borderId="0" applyAlignment="1" pivotButton="0" quotePrefix="0" xfId="0">
      <alignment horizontal="general" vertical="bottom"/>
    </xf>
    <xf numFmtId="0" fontId="8" fillId="7" borderId="0" applyAlignment="1" pivotButton="0" quotePrefix="0" xfId="0">
      <alignment horizontal="general" vertical="bottom" wrapText="1"/>
    </xf>
    <xf numFmtId="0" fontId="7" fillId="0" borderId="4" applyAlignment="1" pivotButton="0" quotePrefix="0" xfId="0">
      <alignment horizontal="general" vertical="top" wrapText="1"/>
    </xf>
    <xf numFmtId="0" fontId="16" fillId="0" borderId="4" applyAlignment="1" pivotButton="0" quotePrefix="0" xfId="0">
      <alignment horizontal="general" vertical="top" wrapText="1"/>
    </xf>
    <xf numFmtId="0" fontId="11" fillId="0" borderId="4" applyAlignment="1" pivotButton="0" quotePrefix="0" xfId="0">
      <alignment horizontal="right" vertical="top" wrapText="1"/>
    </xf>
    <xf numFmtId="165" fontId="11" fillId="0" borderId="4" applyAlignment="1" pivotButton="0" quotePrefix="0" xfId="0">
      <alignment horizontal="right" vertical="top" wrapText="1"/>
    </xf>
    <xf numFmtId="0" fontId="16" fillId="0" borderId="0" applyAlignment="1" pivotButton="0" quotePrefix="0" xfId="0">
      <alignment horizontal="general" vertical="bottom"/>
    </xf>
    <xf numFmtId="0" fontId="7" fillId="4" borderId="3" applyAlignment="1" pivotButton="0" quotePrefix="0" xfId="0">
      <alignment horizontal="right" vertical="bottom"/>
    </xf>
    <xf numFmtId="0" fontId="8" fillId="0" borderId="0" applyAlignment="1" pivotButton="0" quotePrefix="0" xfId="0">
      <alignment horizontal="general" vertical="bottom"/>
    </xf>
    <xf numFmtId="165" fontId="11" fillId="0" borderId="0" applyAlignment="1" pivotButton="0" quotePrefix="0" xfId="0">
      <alignment horizontal="right" vertical="bottom"/>
    </xf>
    <xf numFmtId="0" fontId="16" fillId="0" borderId="0" applyAlignment="1" pivotButton="0" quotePrefix="0" xfId="0">
      <alignment horizontal="right" vertical="bottom"/>
    </xf>
    <xf numFmtId="0" fontId="11" fillId="0" borderId="0" applyAlignment="1" pivotButton="0" quotePrefix="0" xfId="0">
      <alignment horizontal="right" vertical="bottom"/>
    </xf>
    <xf numFmtId="164" fontId="11" fillId="0" borderId="0" applyAlignment="1" pivotButton="0" quotePrefix="0" xfId="0">
      <alignment horizontal="right" vertical="bottom"/>
    </xf>
    <xf numFmtId="166" fontId="11" fillId="0" borderId="0" applyAlignment="1" pivotButton="0" quotePrefix="0" xfId="0">
      <alignment horizontal="right" vertical="bottom"/>
    </xf>
    <xf numFmtId="0" fontId="11" fillId="0" borderId="0" applyAlignment="1" pivotButton="0" quotePrefix="0" xfId="0">
      <alignment horizontal="right" vertical="top" wrapText="1"/>
    </xf>
    <xf numFmtId="167" fontId="11" fillId="0" borderId="0" applyAlignment="1" pivotButton="0" quotePrefix="0" xfId="0">
      <alignment horizontal="right" vertical="bottom"/>
    </xf>
    <xf numFmtId="168" fontId="11" fillId="0" borderId="0" applyAlignment="1" pivotButton="0" quotePrefix="0" xfId="0">
      <alignment horizontal="right" vertical="bottom"/>
    </xf>
    <xf numFmtId="169" fontId="11" fillId="0" borderId="0" applyAlignment="1" pivotButton="0" quotePrefix="0" xfId="0">
      <alignment horizontal="right" vertical="bottom"/>
    </xf>
    <xf numFmtId="170" fontId="11" fillId="0" borderId="0" applyAlignment="1" pivotButton="0" quotePrefix="0" xfId="0">
      <alignment horizontal="right" vertical="bottom"/>
    </xf>
    <xf numFmtId="1" fontId="11" fillId="0" borderId="0" applyAlignment="1" pivotButton="0" quotePrefix="0" xfId="0">
      <alignment horizontal="right" vertical="bottom"/>
    </xf>
    <xf numFmtId="171" fontId="11" fillId="0" borderId="0" applyAlignment="1" pivotButton="0" quotePrefix="0" xfId="0">
      <alignment horizontal="right" vertical="bottom"/>
    </xf>
    <xf numFmtId="0" fontId="17" fillId="4" borderId="3" applyAlignment="1" pivotButton="0" quotePrefix="0" xfId="0">
      <alignment horizontal="general" vertical="bottom"/>
    </xf>
    <xf numFmtId="0" fontId="18" fillId="5" borderId="0" applyAlignment="1" applyProtection="1" pivotButton="0" quotePrefix="0" xfId="0">
      <alignment horizontal="right" vertical="bottom"/>
      <protection locked="0" hidden="0"/>
    </xf>
    <xf numFmtId="166" fontId="8" fillId="0" borderId="0" applyAlignment="1" pivotButton="0" quotePrefix="0" xfId="0">
      <alignment horizontal="right" vertical="bottom"/>
    </xf>
    <xf numFmtId="0" fontId="8" fillId="0" borderId="0" applyAlignment="1" pivotButton="0" quotePrefix="0" xfId="0">
      <alignment horizontal="general" vertical="top" wrapText="1"/>
    </xf>
    <xf numFmtId="0" fontId="18" fillId="5" borderId="0" applyAlignment="1" applyProtection="1" pivotButton="0" quotePrefix="0" xfId="0">
      <alignment horizontal="general" vertical="top" wrapText="1"/>
      <protection locked="0" hidden="0"/>
    </xf>
    <xf numFmtId="0" fontId="16" fillId="0" borderId="0" applyAlignment="1" pivotButton="0" quotePrefix="0" xfId="0">
      <alignment horizontal="general" vertical="bottom"/>
    </xf>
    <xf numFmtId="167" fontId="16" fillId="0" borderId="0" applyAlignment="1" pivotButton="0" quotePrefix="0" xfId="0">
      <alignment horizontal="right" vertical="bottom"/>
    </xf>
    <xf numFmtId="172" fontId="16" fillId="0" borderId="0" applyAlignment="1" pivotButton="0" quotePrefix="0" xfId="0">
      <alignment horizontal="general" vertical="bottom"/>
    </xf>
    <xf numFmtId="169" fontId="16" fillId="0" borderId="0" applyAlignment="1" pivotButton="0" quotePrefix="0" xfId="0">
      <alignment horizontal="right" vertical="bottom"/>
    </xf>
    <xf numFmtId="165" fontId="16" fillId="0" borderId="0" applyAlignment="1" pivotButton="0" quotePrefix="0" xfId="0">
      <alignment horizontal="right" vertical="bottom"/>
    </xf>
    <xf numFmtId="167" fontId="16" fillId="0" borderId="0" applyAlignment="1" pivotButton="0" quotePrefix="0" xfId="0">
      <alignment horizontal="general" vertical="bottom"/>
    </xf>
    <xf numFmtId="165" fontId="16" fillId="0" borderId="0" applyAlignment="1" pivotButton="0" quotePrefix="0" xfId="0">
      <alignment horizontal="general" vertical="bottom"/>
    </xf>
    <xf numFmtId="170" fontId="16" fillId="0" borderId="0" applyAlignment="1" pivotButton="0" quotePrefix="0" xfId="0">
      <alignment horizontal="general" vertical="bottom"/>
    </xf>
    <xf numFmtId="170" fontId="16" fillId="0" borderId="0" applyAlignment="1" pivotButton="0" quotePrefix="0" xfId="0">
      <alignment horizontal="right" vertical="bottom"/>
    </xf>
    <xf numFmtId="171" fontId="16" fillId="0" borderId="0" applyAlignment="1" pivotButton="0" quotePrefix="0" xfId="0">
      <alignment horizontal="general" vertical="bottom"/>
    </xf>
    <xf numFmtId="167" fontId="18" fillId="5" borderId="0" applyAlignment="1" applyProtection="1" pivotButton="0" quotePrefix="0" xfId="0">
      <alignment horizontal="general" vertical="bottom"/>
      <protection locked="0" hidden="0"/>
    </xf>
    <xf numFmtId="171" fontId="18" fillId="5" borderId="0" applyAlignment="1" applyProtection="1" pivotButton="0" quotePrefix="0" xfId="0">
      <alignment horizontal="general" vertical="bottom"/>
      <protection locked="0" hidden="0"/>
    </xf>
    <xf numFmtId="0" fontId="8" fillId="0" borderId="0" applyAlignment="1" pivotButton="0" quotePrefix="0" xfId="0">
      <alignment horizontal="general" vertical="bottom" wrapText="1"/>
    </xf>
    <xf numFmtId="171" fontId="16" fillId="0" borderId="0" applyAlignment="1" pivotButton="0" quotePrefix="0" xfId="0">
      <alignment horizontal="right" vertical="bottom"/>
    </xf>
    <xf numFmtId="166" fontId="16" fillId="0" borderId="0" applyAlignment="1" pivotButton="0" quotePrefix="0" xfId="0">
      <alignment horizontal="right" vertical="bottom"/>
    </xf>
    <xf numFmtId="0" fontId="16" fillId="0" borderId="0" applyAlignment="1" pivotButton="0" quotePrefix="0" xfId="0">
      <alignment horizontal="right" vertical="top" wrapText="1"/>
    </xf>
    <xf numFmtId="0" fontId="18" fillId="5" borderId="0" applyAlignment="1" applyProtection="1" pivotButton="0" quotePrefix="0" xfId="0">
      <alignment horizontal="general" vertical="top" wrapText="1"/>
      <protection locked="0" hidden="0"/>
    </xf>
    <xf numFmtId="0" fontId="16" fillId="0" borderId="0" applyAlignment="1" pivotButton="0" quotePrefix="0" xfId="0">
      <alignment horizontal="general" vertical="top"/>
    </xf>
    <xf numFmtId="0" fontId="18" fillId="5" borderId="0" applyAlignment="1" applyProtection="1" pivotButton="0" quotePrefix="0" xfId="0">
      <alignment horizontal="general" vertical="top"/>
      <protection locked="0" hidden="0"/>
    </xf>
    <xf numFmtId="0" fontId="8" fillId="0" borderId="0" applyAlignment="1" pivotButton="0" quotePrefix="0" xfId="0">
      <alignment horizontal="general" vertical="top"/>
    </xf>
    <xf numFmtId="1" fontId="16" fillId="0" borderId="0" applyAlignment="1" pivotButton="0" quotePrefix="0" xfId="0">
      <alignment horizontal="right" vertical="top"/>
    </xf>
    <xf numFmtId="1" fontId="18" fillId="5" borderId="0" applyAlignment="1" applyProtection="1" pivotButton="0" quotePrefix="0" xfId="0">
      <alignment horizontal="right" vertical="top"/>
      <protection locked="0" hidden="0"/>
    </xf>
    <xf numFmtId="167" fontId="11" fillId="0" borderId="0" applyAlignment="1" pivotButton="0" quotePrefix="0" xfId="0">
      <alignment horizontal="right" vertical="top"/>
    </xf>
    <xf numFmtId="167" fontId="18" fillId="5" borderId="0" applyAlignment="1" applyProtection="1" pivotButton="0" quotePrefix="0" xfId="0">
      <alignment horizontal="right" vertical="top"/>
      <protection locked="0" hidden="0"/>
    </xf>
    <xf numFmtId="169" fontId="11" fillId="0" borderId="0" applyAlignment="1" pivotButton="0" quotePrefix="0" xfId="0">
      <alignment horizontal="right" vertical="top"/>
    </xf>
    <xf numFmtId="169" fontId="18" fillId="5" borderId="0" applyAlignment="1" applyProtection="1" pivotButton="0" quotePrefix="0" xfId="0">
      <alignment horizontal="right" vertical="top"/>
      <protection locked="0" hidden="0"/>
    </xf>
    <xf numFmtId="165" fontId="11" fillId="0" borderId="0" applyAlignment="1" pivotButton="0" quotePrefix="0" xfId="0">
      <alignment horizontal="right" vertical="top"/>
    </xf>
    <xf numFmtId="165" fontId="18" fillId="5" borderId="0" applyAlignment="1" applyProtection="1" pivotButton="0" quotePrefix="0" xfId="0">
      <alignment horizontal="right" vertical="top"/>
      <protection locked="0" hidden="0"/>
    </xf>
    <xf numFmtId="0" fontId="16" fillId="0" borderId="0" applyAlignment="1" pivotButton="0" quotePrefix="0" xfId="0">
      <alignment horizontal="general" vertical="top" wrapText="1"/>
    </xf>
    <xf numFmtId="171" fontId="16" fillId="0" borderId="0" applyAlignment="1" pivotButton="0" quotePrefix="0" xfId="0">
      <alignment horizontal="right" vertical="top"/>
    </xf>
    <xf numFmtId="171" fontId="18" fillId="5" borderId="0" applyAlignment="1" applyProtection="1" pivotButton="0" quotePrefix="0" xfId="0">
      <alignment horizontal="right" vertical="top"/>
      <protection locked="0" hidden="0"/>
    </xf>
    <xf numFmtId="0" fontId="12" fillId="7" borderId="3" applyAlignment="1" pivotButton="0" quotePrefix="0" xfId="0">
      <alignment horizontal="general" vertical="bottom"/>
    </xf>
    <xf numFmtId="171" fontId="7" fillId="7" borderId="3" applyAlignment="1" pivotButton="0" quotePrefix="0" xfId="0">
      <alignment horizontal="right" vertical="bottom"/>
    </xf>
    <xf numFmtId="0" fontId="17" fillId="7" borderId="3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right" vertical="bottom"/>
    </xf>
    <xf numFmtId="0" fontId="8" fillId="0" borderId="0" applyAlignment="1" pivotButton="0" quotePrefix="0" xfId="0">
      <alignment horizontal="right" vertical="bottom"/>
    </xf>
    <xf numFmtId="0" fontId="20" fillId="0" borderId="0" applyAlignment="1" pivotButton="0" quotePrefix="0" xfId="0">
      <alignment horizontal="general" vertical="top" wrapText="1"/>
    </xf>
    <xf numFmtId="164" fontId="16" fillId="0" borderId="0" applyAlignment="1" pivotButton="0" quotePrefix="0" xfId="0">
      <alignment horizontal="general" vertical="top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general" vertical="center" wrapText="1"/>
    </xf>
    <xf numFmtId="0" fontId="6" fillId="2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164" fontId="8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top" wrapText="1"/>
    </xf>
    <xf numFmtId="0" fontId="11" fillId="0" borderId="0" applyAlignment="1" pivotButton="0" quotePrefix="0" xfId="0">
      <alignment horizontal="right" vertical="top" wrapText="1"/>
    </xf>
    <xf numFmtId="0" fontId="7" fillId="3" borderId="2" applyAlignment="1" pivotButton="0" quotePrefix="0" xfId="0">
      <alignment horizontal="center" vertical="center" wrapText="1"/>
    </xf>
    <xf numFmtId="0" fontId="12" fillId="4" borderId="3" applyAlignment="1" pivotButton="0" quotePrefix="0" xfId="0">
      <alignment horizontal="general" vertical="bottom"/>
    </xf>
    <xf numFmtId="165" fontId="13" fillId="4" borderId="3" applyAlignment="1" pivotButton="0" quotePrefix="0" xfId="0">
      <alignment horizontal="right" vertical="bottom"/>
    </xf>
    <xf numFmtId="165" fontId="7" fillId="4" borderId="3" applyAlignment="1" pivotButton="0" quotePrefix="0" xfId="0">
      <alignment horizontal="right" vertical="bottom"/>
    </xf>
    <xf numFmtId="0" fontId="12" fillId="4" borderId="3" applyAlignment="1" pivotButton="0" quotePrefix="0" xfId="0">
      <alignment horizontal="general" vertical="bottom" wrapText="1"/>
    </xf>
    <xf numFmtId="0" fontId="0" fillId="0" borderId="3" pivotButton="0" quotePrefix="0" xfId="0"/>
    <xf numFmtId="0" fontId="14" fillId="0" borderId="0" applyAlignment="1" pivotButton="0" quotePrefix="0" xfId="0">
      <alignment horizontal="general" vertical="bottom"/>
    </xf>
    <xf numFmtId="0" fontId="15" fillId="5" borderId="0" applyAlignment="1" pivotButton="0" quotePrefix="0" xfId="0">
      <alignment horizontal="general" vertical="bottom"/>
    </xf>
    <xf numFmtId="0" fontId="13" fillId="6" borderId="0" applyAlignment="1" pivotButton="0" quotePrefix="0" xfId="0">
      <alignment horizontal="general" vertical="bottom"/>
    </xf>
    <xf numFmtId="0" fontId="7" fillId="6" borderId="0" applyAlignment="1" pivotButton="0" quotePrefix="0" xfId="0">
      <alignment horizontal="general" vertical="bottom"/>
    </xf>
    <xf numFmtId="0" fontId="7" fillId="7" borderId="0" applyAlignment="1" pivotButton="0" quotePrefix="0" xfId="0">
      <alignment horizontal="general" vertical="bottom"/>
    </xf>
    <xf numFmtId="0" fontId="8" fillId="7" borderId="0" applyAlignment="1" pivotButton="0" quotePrefix="0" xfId="0">
      <alignment horizontal="general" vertical="bottom" wrapText="1"/>
    </xf>
    <xf numFmtId="0" fontId="7" fillId="0" borderId="4" applyAlignment="1" pivotButton="0" quotePrefix="0" xfId="0">
      <alignment horizontal="general" vertical="top" wrapText="1"/>
    </xf>
    <xf numFmtId="0" fontId="16" fillId="0" borderId="4" applyAlignment="1" pivotButton="0" quotePrefix="0" xfId="0">
      <alignment horizontal="general" vertical="top" wrapText="1"/>
    </xf>
    <xf numFmtId="0" fontId="11" fillId="0" borderId="4" applyAlignment="1" pivotButton="0" quotePrefix="0" xfId="0">
      <alignment horizontal="right" vertical="top" wrapText="1"/>
    </xf>
    <xf numFmtId="165" fontId="11" fillId="0" borderId="4" applyAlignment="1" pivotButton="0" quotePrefix="0" xfId="0">
      <alignment horizontal="right" vertical="top" wrapText="1"/>
    </xf>
    <xf numFmtId="0" fontId="16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right" vertical="bottom"/>
    </xf>
    <xf numFmtId="164" fontId="11" fillId="0" borderId="0" applyAlignment="1" pivotButton="0" quotePrefix="0" xfId="0">
      <alignment horizontal="right" vertical="bottom"/>
    </xf>
    <xf numFmtId="0" fontId="18" fillId="5" borderId="0" applyAlignment="1" applyProtection="1" pivotButton="0" quotePrefix="0" xfId="0">
      <alignment horizontal="right" vertical="bottom"/>
      <protection locked="0" hidden="0"/>
    </xf>
    <xf numFmtId="166" fontId="8" fillId="0" borderId="0" applyAlignment="1" pivotButton="0" quotePrefix="0" xfId="0">
      <alignment horizontal="right" vertical="bottom"/>
    </xf>
    <xf numFmtId="0" fontId="8" fillId="0" borderId="0" applyAlignment="1" pivotButton="0" quotePrefix="0" xfId="0">
      <alignment horizontal="general" vertical="top" wrapText="1"/>
    </xf>
    <xf numFmtId="0" fontId="18" fillId="5" borderId="0" applyAlignment="1" applyProtection="1" pivotButton="0" quotePrefix="0" xfId="0">
      <alignment horizontal="general" vertical="top" wrapText="1"/>
      <protection locked="0" hidden="0"/>
    </xf>
    <xf numFmtId="167" fontId="16" fillId="0" borderId="0" applyAlignment="1" pivotButton="0" quotePrefix="0" xfId="0">
      <alignment horizontal="right" vertical="bottom"/>
    </xf>
    <xf numFmtId="172" fontId="16" fillId="0" borderId="0" applyAlignment="1" pivotButton="0" quotePrefix="0" xfId="0">
      <alignment horizontal="general" vertical="bottom"/>
    </xf>
    <xf numFmtId="169" fontId="16" fillId="0" borderId="0" applyAlignment="1" pivotButton="0" quotePrefix="0" xfId="0">
      <alignment horizontal="right" vertical="bottom"/>
    </xf>
    <xf numFmtId="165" fontId="16" fillId="0" borderId="0" applyAlignment="1" pivotButton="0" quotePrefix="0" xfId="0">
      <alignment horizontal="right" vertical="bottom"/>
    </xf>
    <xf numFmtId="167" fontId="16" fillId="0" borderId="0" applyAlignment="1" pivotButton="0" quotePrefix="0" xfId="0">
      <alignment horizontal="general" vertical="bottom"/>
    </xf>
    <xf numFmtId="165" fontId="16" fillId="0" borderId="0" applyAlignment="1" pivotButton="0" quotePrefix="0" xfId="0">
      <alignment horizontal="general" vertical="bottom"/>
    </xf>
    <xf numFmtId="170" fontId="16" fillId="0" borderId="0" applyAlignment="1" pivotButton="0" quotePrefix="0" xfId="0">
      <alignment horizontal="general" vertical="bottom"/>
    </xf>
    <xf numFmtId="170" fontId="16" fillId="0" borderId="0" applyAlignment="1" pivotButton="0" quotePrefix="0" xfId="0">
      <alignment horizontal="right" vertical="bottom"/>
    </xf>
    <xf numFmtId="171" fontId="16" fillId="0" borderId="0" applyAlignment="1" pivotButton="0" quotePrefix="0" xfId="0">
      <alignment horizontal="general" vertical="bottom"/>
    </xf>
    <xf numFmtId="167" fontId="18" fillId="5" borderId="0" applyAlignment="1" applyProtection="1" pivotButton="0" quotePrefix="0" xfId="0">
      <alignment horizontal="general" vertical="bottom"/>
      <protection locked="0" hidden="0"/>
    </xf>
    <xf numFmtId="171" fontId="18" fillId="5" borderId="0" applyAlignment="1" applyProtection="1" pivotButton="0" quotePrefix="0" xfId="0">
      <alignment horizontal="general" vertical="bottom"/>
      <protection locked="0" hidden="0"/>
    </xf>
    <xf numFmtId="167" fontId="11" fillId="0" borderId="0" applyAlignment="1" pivotButton="0" quotePrefix="0" xfId="0">
      <alignment horizontal="right" vertical="bottom"/>
    </xf>
    <xf numFmtId="165" fontId="11" fillId="0" borderId="0" applyAlignment="1" pivotButton="0" quotePrefix="0" xfId="0">
      <alignment horizontal="right" vertical="bottom"/>
    </xf>
    <xf numFmtId="170" fontId="11" fillId="0" borderId="0" applyAlignment="1" pivotButton="0" quotePrefix="0" xfId="0">
      <alignment horizontal="right" vertical="bottom"/>
    </xf>
    <xf numFmtId="171" fontId="11" fillId="0" borderId="0" applyAlignment="1" pivotButton="0" quotePrefix="0" xfId="0">
      <alignment horizontal="right" vertical="bottom"/>
    </xf>
    <xf numFmtId="0" fontId="8" fillId="0" borderId="0" applyAlignment="1" pivotButton="0" quotePrefix="0" xfId="0">
      <alignment horizontal="general" vertical="bottom" wrapText="1"/>
    </xf>
    <xf numFmtId="171" fontId="16" fillId="0" borderId="0" applyAlignment="1" pivotButton="0" quotePrefix="0" xfId="0">
      <alignment horizontal="right" vertical="bottom"/>
    </xf>
    <xf numFmtId="0" fontId="16" fillId="0" borderId="0" applyAlignment="1" pivotButton="0" quotePrefix="0" xfId="0">
      <alignment horizontal="right" vertical="bottom"/>
    </xf>
    <xf numFmtId="166" fontId="16" fillId="0" borderId="0" applyAlignment="1" pivotButton="0" quotePrefix="0" xfId="0">
      <alignment horizontal="right" vertical="bottom"/>
    </xf>
    <xf numFmtId="1" fontId="11" fillId="0" borderId="0" applyAlignment="1" pivotButton="0" quotePrefix="0" xfId="0">
      <alignment horizontal="right" vertical="bottom"/>
    </xf>
    <xf numFmtId="0" fontId="16" fillId="0" borderId="0" applyAlignment="1" pivotButton="0" quotePrefix="0" xfId="0">
      <alignment horizontal="right" vertical="top" wrapText="1"/>
    </xf>
    <xf numFmtId="0" fontId="0" fillId="0" borderId="0" applyProtection="1" pivotButton="0" quotePrefix="0" xfId="0">
      <protection locked="0" hidden="0"/>
    </xf>
    <xf numFmtId="166" fontId="11" fillId="0" borderId="0" applyAlignment="1" pivotButton="0" quotePrefix="0" xfId="0">
      <alignment horizontal="right" vertical="bottom"/>
    </xf>
    <xf numFmtId="0" fontId="16" fillId="0" borderId="0" applyAlignment="1" pivotButton="0" quotePrefix="0" xfId="0">
      <alignment horizontal="general" vertical="top"/>
    </xf>
    <xf numFmtId="0" fontId="18" fillId="5" borderId="0" applyAlignment="1" applyProtection="1" pivotButton="0" quotePrefix="0" xfId="0">
      <alignment horizontal="general" vertical="top"/>
      <protection locked="0" hidden="0"/>
    </xf>
    <xf numFmtId="0" fontId="8" fillId="0" borderId="0" applyAlignment="1" pivotButton="0" quotePrefix="0" xfId="0">
      <alignment horizontal="general" vertical="top"/>
    </xf>
    <xf numFmtId="1" fontId="16" fillId="0" borderId="0" applyAlignment="1" pivotButton="0" quotePrefix="0" xfId="0">
      <alignment horizontal="right" vertical="top"/>
    </xf>
    <xf numFmtId="1" fontId="18" fillId="5" borderId="0" applyAlignment="1" applyProtection="1" pivotButton="0" quotePrefix="0" xfId="0">
      <alignment horizontal="right" vertical="top"/>
      <protection locked="0" hidden="0"/>
    </xf>
    <xf numFmtId="167" fontId="11" fillId="0" borderId="0" applyAlignment="1" pivotButton="0" quotePrefix="0" xfId="0">
      <alignment horizontal="right" vertical="top"/>
    </xf>
    <xf numFmtId="167" fontId="18" fillId="5" borderId="0" applyAlignment="1" applyProtection="1" pivotButton="0" quotePrefix="0" xfId="0">
      <alignment horizontal="right" vertical="top"/>
      <protection locked="0" hidden="0"/>
    </xf>
    <xf numFmtId="169" fontId="11" fillId="0" borderId="0" applyAlignment="1" pivotButton="0" quotePrefix="0" xfId="0">
      <alignment horizontal="right" vertical="top"/>
    </xf>
    <xf numFmtId="169" fontId="18" fillId="5" borderId="0" applyAlignment="1" applyProtection="1" pivotButton="0" quotePrefix="0" xfId="0">
      <alignment horizontal="right" vertical="top"/>
      <protection locked="0" hidden="0"/>
    </xf>
    <xf numFmtId="165" fontId="11" fillId="0" borderId="0" applyAlignment="1" pivotButton="0" quotePrefix="0" xfId="0">
      <alignment horizontal="right" vertical="top"/>
    </xf>
    <xf numFmtId="165" fontId="18" fillId="5" borderId="0" applyAlignment="1" applyProtection="1" pivotButton="0" quotePrefix="0" xfId="0">
      <alignment horizontal="right" vertical="top"/>
      <protection locked="0" hidden="0"/>
    </xf>
    <xf numFmtId="0" fontId="16" fillId="0" borderId="0" applyAlignment="1" pivotButton="0" quotePrefix="0" xfId="0">
      <alignment horizontal="general" vertical="top" wrapText="1"/>
    </xf>
    <xf numFmtId="171" fontId="16" fillId="0" borderId="0" applyAlignment="1" pivotButton="0" quotePrefix="0" xfId="0">
      <alignment horizontal="right" vertical="top"/>
    </xf>
    <xf numFmtId="171" fontId="18" fillId="5" borderId="0" applyAlignment="1" applyProtection="1" pivotButton="0" quotePrefix="0" xfId="0">
      <alignment horizontal="right" vertical="top"/>
      <protection locked="0" hidden="0"/>
    </xf>
    <xf numFmtId="0" fontId="12" fillId="7" borderId="3" applyAlignment="1" pivotButton="0" quotePrefix="0" xfId="0">
      <alignment horizontal="general" vertical="bottom"/>
    </xf>
    <xf numFmtId="171" fontId="7" fillId="7" borderId="3" applyAlignment="1" pivotButton="0" quotePrefix="0" xfId="0">
      <alignment horizontal="right" vertical="bottom"/>
    </xf>
    <xf numFmtId="0" fontId="17" fillId="7" borderId="3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right" vertical="bottom"/>
    </xf>
    <xf numFmtId="0" fontId="8" fillId="0" borderId="0" applyAlignment="1" pivotButton="0" quotePrefix="0" xfId="0">
      <alignment horizontal="right" vertical="bottom"/>
    </xf>
    <xf numFmtId="169" fontId="11" fillId="0" borderId="0" applyAlignment="1" pivotButton="0" quotePrefix="0" xfId="0">
      <alignment horizontal="right" vertical="bottom"/>
    </xf>
    <xf numFmtId="0" fontId="20" fillId="0" borderId="0" applyAlignment="1" pivotButton="0" quotePrefix="0" xfId="0">
      <alignment horizontal="general" vertical="top" wrapText="1"/>
    </xf>
    <xf numFmtId="164" fontId="16" fillId="0" borderId="0" applyAlignment="1" pivotButton="0" quotePrefix="0" xfId="0">
      <alignment horizontal="general" vertical="top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10">
    <dxf>
      <fill>
        <patternFill>
          <bgColor rgb="FFE2F0D9"/>
        </patternFill>
      </fill>
    </dxf>
    <dxf>
      <fill>
        <patternFill>
          <bgColor rgb="FFFFF2CC"/>
        </patternFill>
      </fill>
    </dxf>
    <dxf>
      <fill>
        <patternFill>
          <bgColor rgb="FFFCE4D6"/>
        </patternFill>
      </fill>
    </dxf>
    <dxf>
      <fill>
        <patternFill patternType="solid">
          <fgColor rgb="FFD9E1F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8000"/>
          <bgColor rgb="FF000000"/>
        </patternFill>
      </fill>
    </dxf>
    <dxf>
      <fill>
        <patternFill patternType="solid">
          <fgColor rgb="FFD9EAF7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0563C1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666666"/>
      <rgbColor rgb="FF5B9BD5"/>
      <rgbColor rgb="FF993366"/>
      <rgbColor rgb="FFFFF2CC"/>
      <rgbColor rgb="FFD9EAF7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1F2"/>
      <rgbColor rgb="FFE2F0D9"/>
      <rgbColor rgb="FFFFFF99"/>
      <rgbColor rgb="FF99CCFF"/>
      <rgbColor rgb="FFFF99CC"/>
      <rgbColor rgb="FFCC99FF"/>
      <rgbColor rgb="FFFCE4D6"/>
      <rgbColor rgb="FF4472C4"/>
      <rgbColor rgb="FF33CCCC"/>
      <rgbColor rgb="FF99CC00"/>
      <rgbColor rgb="FFFFC000"/>
      <rgbColor rgb="FFFF9900"/>
      <rgbColor rgb="FFFF6600"/>
      <rgbColor rgb="FF8064A2"/>
      <rgbColor rgb="FF70AD47"/>
      <rgbColor rgb="FF17365D"/>
      <rgbColor rgb="FF00B050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comments/comment1.xml><?xml version="1.0" encoding="utf-8"?>
<comments xmlns="http://schemas.openxmlformats.org/spreadsheetml/2006/main">
  <authors>
    <author>FIN 4004</author>
  </authors>
  <commentList>
    <comment ref="F6" authorId="0" shapeId="0">
      <text>
        <t>Editable student transaction inclusion decision. Change to Yes or No only after reviewing date, age, strategic fit, source quality, and the metric-specific evidence available.</t>
      </text>
    </comment>
    <comment ref="L6" authorId="0" shapeId="0">
      <text>
        <t>Editable student Step I transaction-screening rationale.</t>
      </text>
    </comment>
    <comment ref="F7" authorId="0" shapeId="0">
      <text>
        <t>Editable student transaction inclusion decision. Change to Yes or No only after reviewing date, age, strategic fit, source quality, and the metric-specific evidence available.</t>
      </text>
    </comment>
    <comment ref="L7" authorId="0" shapeId="0">
      <text>
        <t>Editable student Step I transaction-screening rationale.</t>
      </text>
    </comment>
    <comment ref="F8" authorId="0" shapeId="0">
      <text>
        <t>Editable student transaction inclusion decision. Change to Yes or No only after reviewing date, age, strategic fit, source quality, and the metric-specific evidence available.</t>
      </text>
    </comment>
    <comment ref="L8" authorId="0" shapeId="0">
      <text>
        <t>Editable student Step I transaction-screening rationale.</t>
      </text>
    </comment>
    <comment ref="F9" authorId="0" shapeId="0">
      <text>
        <t>Editable student transaction inclusion decision. Change to Yes or No only after reviewing date, age, strategic fit, source quality, and the metric-specific evidence available.</t>
      </text>
    </comment>
    <comment ref="L9" authorId="0" shapeId="0">
      <text>
        <t>Editable student Step I transaction-screening rationale.</t>
      </text>
    </comment>
    <comment ref="F10" authorId="0" shapeId="0">
      <text>
        <t>Editable student transaction inclusion decision. Change to Yes or No only after reviewing date, age, strategic fit, source quality, and the metric-specific evidence available.</t>
      </text>
    </comment>
    <comment ref="L10" authorId="0" shapeId="0">
      <text>
        <t>Editable student Step I transaction-screening rationale.</t>
      </text>
    </comment>
    <comment ref="F11" authorId="0" shapeId="0">
      <text>
        <t>Editable student transaction inclusion decision. Change to Yes or No only after reviewing date, age, strategic fit, source quality, and the metric-specific evidence available.</t>
      </text>
    </comment>
    <comment ref="L11" authorId="0" shapeId="0">
      <text>
        <t>Editable student Step I transaction-screening rationale.</t>
      </text>
    </comment>
    <comment ref="F12" authorId="0" shapeId="0">
      <text>
        <t>Editable student transaction inclusion decision. Change to Yes or No only after reviewing date, age, strategic fit, source quality, and the metric-specific evidence available.</t>
      </text>
    </comment>
    <comment ref="L12" authorId="0" shapeId="0">
      <text>
        <t>Editable student Step I transaction-screening rationale.</t>
      </text>
    </comment>
    <comment ref="F13" authorId="0" shapeId="0">
      <text>
        <t>Editable student transaction inclusion decision. Change to Yes or No only after reviewing date, age, strategic fit, source quality, and the metric-specific evidence available.</t>
      </text>
    </comment>
    <comment ref="L13" authorId="0" shapeId="0">
      <text>
        <t>Editable student Step I transaction-screening rationale.</t>
      </text>
    </comment>
    <comment ref="F14" authorId="0" shapeId="0">
      <text>
        <t>Editable student transaction inclusion decision. Change to Yes or No only after reviewing date, age, strategic fit, source quality, and the metric-specific evidence available.</t>
      </text>
    </comment>
    <comment ref="L14" authorId="0" shapeId="0">
      <text>
        <t>Editable student Step I transaction-screening rationale.</t>
      </text>
    </comment>
    <comment ref="F15" authorId="0" shapeId="0">
      <text>
        <t>Editable student transaction inclusion decision. Change to Yes or No only after reviewing date, age, strategic fit, source quality, and the metric-specific evidence available.</t>
      </text>
    </comment>
    <comment ref="L15" authorId="0" shapeId="0">
      <text>
        <t>Editable student Step I transaction-screening rationale.</t>
      </text>
    </comment>
    <comment ref="F16" authorId="0" shapeId="0">
      <text>
        <t>Editable student transaction inclusion decision. Change to Yes or No only after reviewing date, age, strategic fit, source quality, and the metric-specific evidence available.</t>
      </text>
    </comment>
    <comment ref="L16" authorId="0" shapeId="0">
      <text>
        <t>Editable student Step I transaction-screening rationale.</t>
      </text>
    </comment>
    <comment ref="F17" authorId="0" shapeId="0">
      <text>
        <t>Editable student transaction inclusion decision. Change to Yes or No only after reviewing date, age, strategic fit, source quality, and the metric-specific evidence available.</t>
      </text>
    </comment>
    <comment ref="L17" authorId="0" shapeId="0">
      <text>
        <t>Editable student Step I transaction-screening rationale.</t>
      </text>
    </comment>
  </commentList>
</comments>
</file>

<file path=xl/comments/comment2.xml><?xml version="1.0" encoding="utf-8"?>
<comments xmlns="http://schemas.openxmlformats.org/spreadsheetml/2006/main">
  <authors>
    <author>FIN 4004</author>
  </authors>
  <commentList>
    <comment ref="S15" authorId="0" shapeId="0">
      <text>
        <t>Optional student override for enterprise value. Enter a sourced value in displayed units or leave N/M to use the completed analyst value.</t>
      </text>
    </comment>
    <comment ref="T15" authorId="0" shapeId="0">
      <text>
        <t>Optional student override for revenue. Enter a sourced value in displayed units or leave N/M to use the completed analyst value.</t>
      </text>
    </comment>
    <comment ref="U15" authorId="0" shapeId="0">
      <text>
        <t>Optional student override for EBITDA. Enter a sourced value in displayed units or leave N/M to use the completed analyst value.</t>
      </text>
    </comment>
    <comment ref="V15" authorId="0" shapeId="0">
      <text>
        <t>Optional student override for acquisition premium. Enter a sourced value in displayed units or leave N/M to use the completed analyst value.</t>
      </text>
    </comment>
    <comment ref="W15" authorId="0" shapeId="0">
      <text>
        <t>Editable student Step II source and rationale.</t>
      </text>
    </comment>
    <comment ref="S16" authorId="0" shapeId="0">
      <text>
        <t>Optional student override for enterprise value. Enter a sourced value in displayed units or leave N/M to use the completed analyst value.</t>
      </text>
    </comment>
    <comment ref="T16" authorId="0" shapeId="0">
      <text>
        <t>Optional student override for revenue. Enter a sourced value in displayed units or leave N/M to use the completed analyst value.</t>
      </text>
    </comment>
    <comment ref="U16" authorId="0" shapeId="0">
      <text>
        <t>Optional student override for EBITDA. Enter a sourced value in displayed units or leave N/M to use the completed analyst value.</t>
      </text>
    </comment>
    <comment ref="V16" authorId="0" shapeId="0">
      <text>
        <t>Optional student override for acquisition premium. Enter a sourced value in displayed units or leave N/M to use the completed analyst value.</t>
      </text>
    </comment>
    <comment ref="W16" authorId="0" shapeId="0">
      <text>
        <t>Editable student Step II source and rationale.</t>
      </text>
    </comment>
    <comment ref="S17" authorId="0" shapeId="0">
      <text>
        <t>Optional student override for enterprise value. Enter a sourced value in displayed units or leave N/M to use the completed analyst value.</t>
      </text>
    </comment>
    <comment ref="T17" authorId="0" shapeId="0">
      <text>
        <t>Optional student override for revenue. Enter a sourced value in displayed units or leave N/M to use the completed analyst value.</t>
      </text>
    </comment>
    <comment ref="U17" authorId="0" shapeId="0">
      <text>
        <t>Optional student override for EBITDA. Enter a sourced value in displayed units or leave N/M to use the completed analyst value.</t>
      </text>
    </comment>
    <comment ref="V17" authorId="0" shapeId="0">
      <text>
        <t>Optional student override for acquisition premium. Enter a sourced value in displayed units or leave N/M to use the completed analyst value.</t>
      </text>
    </comment>
    <comment ref="W17" authorId="0" shapeId="0">
      <text>
        <t>Editable student Step II source and rationale.</t>
      </text>
    </comment>
    <comment ref="S18" authorId="0" shapeId="0">
      <text>
        <t>Optional student override for enterprise value. Enter a sourced value in displayed units or leave N/M to use the completed analyst value.</t>
      </text>
    </comment>
    <comment ref="T18" authorId="0" shapeId="0">
      <text>
        <t>Optional student override for revenue. Enter a sourced value in displayed units or leave N/M to use the completed analyst value.</t>
      </text>
    </comment>
    <comment ref="U18" authorId="0" shapeId="0">
      <text>
        <t>Optional student override for EBITDA. Enter a sourced value in displayed units or leave N/M to use the completed analyst value.</t>
      </text>
    </comment>
    <comment ref="V18" authorId="0" shapeId="0">
      <text>
        <t>Optional student override for acquisition premium. Enter a sourced value in displayed units or leave N/M to use the completed analyst value.</t>
      </text>
    </comment>
    <comment ref="W18" authorId="0" shapeId="0">
      <text>
        <t>Editable student Step II source and rationale.</t>
      </text>
    </comment>
    <comment ref="S19" authorId="0" shapeId="0">
      <text>
        <t>Optional student override for enterprise value. Enter a sourced value in displayed units or leave N/M to use the completed analyst value.</t>
      </text>
    </comment>
    <comment ref="T19" authorId="0" shapeId="0">
      <text>
        <t>Optional student override for revenue. Enter a sourced value in displayed units or leave N/M to use the completed analyst value.</t>
      </text>
    </comment>
    <comment ref="U19" authorId="0" shapeId="0">
      <text>
        <t>Optional student override for EBITDA. Enter a sourced value in displayed units or leave N/M to use the completed analyst value.</t>
      </text>
    </comment>
    <comment ref="V19" authorId="0" shapeId="0">
      <text>
        <t>Optional student override for acquisition premium. Enter a sourced value in displayed units or leave N/M to use the completed analyst value.</t>
      </text>
    </comment>
    <comment ref="W19" authorId="0" shapeId="0">
      <text>
        <t>Editable student Step II source and rationale.</t>
      </text>
    </comment>
    <comment ref="S20" authorId="0" shapeId="0">
      <text>
        <t>Optional student override for enterprise value. Enter a sourced value in displayed units or leave N/M to use the completed analyst value.</t>
      </text>
    </comment>
    <comment ref="T20" authorId="0" shapeId="0">
      <text>
        <t>Optional student override for revenue. Enter a sourced value in displayed units or leave N/M to use the completed analyst value.</t>
      </text>
    </comment>
    <comment ref="U20" authorId="0" shapeId="0">
      <text>
        <t>Optional student override for EBITDA. Enter a sourced value in displayed units or leave N/M to use the completed analyst value.</t>
      </text>
    </comment>
    <comment ref="V20" authorId="0" shapeId="0">
      <text>
        <t>Optional student override for acquisition premium. Enter a sourced value in displayed units or leave N/M to use the completed analyst value.</t>
      </text>
    </comment>
    <comment ref="W20" authorId="0" shapeId="0">
      <text>
        <t>Editable student Step II source and rationale.</t>
      </text>
    </comment>
    <comment ref="S21" authorId="0" shapeId="0">
      <text>
        <t>Optional student override for enterprise value. Enter a sourced value in displayed units or leave N/M to use the completed analyst value.</t>
      </text>
    </comment>
    <comment ref="T21" authorId="0" shapeId="0">
      <text>
        <t>Optional student override for revenue. Enter a sourced value in displayed units or leave N/M to use the completed analyst value.</t>
      </text>
    </comment>
    <comment ref="U21" authorId="0" shapeId="0">
      <text>
        <t>Optional student override for EBITDA. Enter a sourced value in displayed units or leave N/M to use the completed analyst value.</t>
      </text>
    </comment>
    <comment ref="V21" authorId="0" shapeId="0">
      <text>
        <t>Optional student override for acquisition premium. Enter a sourced value in displayed units or leave N/M to use the completed analyst value.</t>
      </text>
    </comment>
    <comment ref="W21" authorId="0" shapeId="0">
      <text>
        <t>Editable student Step II source and rationale.</t>
      </text>
    </comment>
    <comment ref="S22" authorId="0" shapeId="0">
      <text>
        <t>Optional student override for enterprise value. Enter a sourced value in displayed units or leave N/M to use the completed analyst value.</t>
      </text>
    </comment>
    <comment ref="T22" authorId="0" shapeId="0">
      <text>
        <t>Optional student override for revenue. Enter a sourced value in displayed units or leave N/M to use the completed analyst value.</t>
      </text>
    </comment>
    <comment ref="U22" authorId="0" shapeId="0">
      <text>
        <t>Optional student override for EBITDA. Enter a sourced value in displayed units or leave N/M to use the completed analyst value.</t>
      </text>
    </comment>
    <comment ref="V22" authorId="0" shapeId="0">
      <text>
        <t>Optional student override for acquisition premium. Enter a sourced value in displayed units or leave N/M to use the completed analyst value.</t>
      </text>
    </comment>
    <comment ref="W22" authorId="0" shapeId="0">
      <text>
        <t>Editable student Step II source and rationale.</t>
      </text>
    </comment>
    <comment ref="S23" authorId="0" shapeId="0">
      <text>
        <t>Optional student override for enterprise value. Enter a sourced value in displayed units or leave N/M to use the completed analyst value.</t>
      </text>
    </comment>
    <comment ref="T23" authorId="0" shapeId="0">
      <text>
        <t>Optional student override for revenue. Enter a sourced value in displayed units or leave N/M to use the completed analyst value.</t>
      </text>
    </comment>
    <comment ref="U23" authorId="0" shapeId="0">
      <text>
        <t>Optional student override for EBITDA. Enter a sourced value in displayed units or leave N/M to use the completed analyst value.</t>
      </text>
    </comment>
    <comment ref="V23" authorId="0" shapeId="0">
      <text>
        <t>Optional student override for acquisition premium. Enter a sourced value in displayed units or leave N/M to use the completed analyst value.</t>
      </text>
    </comment>
    <comment ref="W23" authorId="0" shapeId="0">
      <text>
        <t>Editable student Step II source and rationale.</t>
      </text>
    </comment>
    <comment ref="S24" authorId="0" shapeId="0">
      <text>
        <t>Optional student override for enterprise value. Enter a sourced value in displayed units or leave N/M to use the completed analyst value.</t>
      </text>
    </comment>
    <comment ref="T24" authorId="0" shapeId="0">
      <text>
        <t>Optional student override for revenue. Enter a sourced value in displayed units or leave N/M to use the completed analyst value.</t>
      </text>
    </comment>
    <comment ref="U24" authorId="0" shapeId="0">
      <text>
        <t>Optional student override for EBITDA. Enter a sourced value in displayed units or leave N/M to use the completed analyst value.</t>
      </text>
    </comment>
    <comment ref="V24" authorId="0" shapeId="0">
      <text>
        <t>Optional student override for acquisition premium. Enter a sourced value in displayed units or leave N/M to use the completed analyst value.</t>
      </text>
    </comment>
    <comment ref="W24" authorId="0" shapeId="0">
      <text>
        <t>Editable student Step II source and rationale.</t>
      </text>
    </comment>
    <comment ref="S25" authorId="0" shapeId="0">
      <text>
        <t>Optional student override for enterprise value. Enter a sourced value in displayed units or leave N/M to use the completed analyst value.</t>
      </text>
    </comment>
    <comment ref="T25" authorId="0" shapeId="0">
      <text>
        <t>Optional student override for revenue. Enter a sourced value in displayed units or leave N/M to use the completed analyst value.</t>
      </text>
    </comment>
    <comment ref="U25" authorId="0" shapeId="0">
      <text>
        <t>Optional student override for EBITDA. Enter a sourced value in displayed units or leave N/M to use the completed analyst value.</t>
      </text>
    </comment>
    <comment ref="V25" authorId="0" shapeId="0">
      <text>
        <t>Optional student override for acquisition premium. Enter a sourced value in displayed units or leave N/M to use the completed analyst value.</t>
      </text>
    </comment>
    <comment ref="W25" authorId="0" shapeId="0">
      <text>
        <t>Editable student Step II source and rationale.</t>
      </text>
    </comment>
    <comment ref="S26" authorId="0" shapeId="0">
      <text>
        <t>Optional student override for enterprise value. Enter a sourced value in displayed units or leave N/M to use the completed analyst value.</t>
      </text>
    </comment>
    <comment ref="T26" authorId="0" shapeId="0">
      <text>
        <t>Optional student override for revenue. Enter a sourced value in displayed units or leave N/M to use the completed analyst value.</t>
      </text>
    </comment>
    <comment ref="U26" authorId="0" shapeId="0">
      <text>
        <t>Optional student override for EBITDA. Enter a sourced value in displayed units or leave N/M to use the completed analyst value.</t>
      </text>
    </comment>
    <comment ref="V26" authorId="0" shapeId="0">
      <text>
        <t>Optional student override for acquisition premium. Enter a sourced value in displayed units or leave N/M to use the completed analyst value.</t>
      </text>
    </comment>
    <comment ref="W26" authorId="0" shapeId="0">
      <text>
        <t>Editable student Step II source and rationale.</t>
      </text>
    </comment>
  </commentList>
</comments>
</file>

<file path=xl/comments/comment3.xml><?xml version="1.0" encoding="utf-8"?>
<comments xmlns="http://schemas.openxmlformats.org/spreadsheetml/2006/main">
  <authors>
    <author>FIN 4004</author>
  </authors>
  <commentList>
    <comment ref="I21" authorId="0" shapeId="0">
      <text>
        <t>Editable student Step IV conclusion. Cite specific acquisitions and statistics.</t>
      </text>
    </comment>
  </commentList>
</comments>
</file>

<file path=xl/comments/comment4.xml><?xml version="1.0" encoding="utf-8"?>
<comments xmlns="http://schemas.openxmlformats.org/spreadsheetml/2006/main">
  <authors>
    <author>FIN 4004</author>
  </authors>
  <commentList>
    <comment ref="M21" authorId="0" shapeId="0">
      <text>
        <t>Editable student Step V conclusion.</t>
      </text>
    </comment>
  </commentList>
</comments>
</file>

<file path=xl/comments/comment5.xml><?xml version="1.0" encoding="utf-8"?>
<comments xmlns="http://schemas.openxmlformats.org/spreadsheetml/2006/main">
  <authors>
    <author>FIN 4004</author>
  </authors>
  <commentList>
    <comment ref="C5" authorId="0" shapeId="0">
      <text>
        <t>Editable student assumption. The initial value matches the automated model so differences are attributable to your judgment.</t>
      </text>
    </comment>
    <comment ref="C6" authorId="0" shapeId="0">
      <text>
        <t>Editable student assumption. The initial value matches the automated model so differences are attributable to your judgment.</t>
      </text>
    </comment>
    <comment ref="C8" authorId="0" shapeId="0">
      <text>
        <t>Editable target metric override. Keep the displayed units.</t>
      </text>
    </comment>
    <comment ref="C9" authorId="0" shapeId="0">
      <text>
        <t>Editable target metric override. Keep the displayed units.</t>
      </text>
    </comment>
    <comment ref="C10" authorId="0" shapeId="0">
      <text>
        <t>Editable target metric override. Keep the displayed units.</t>
      </text>
    </comment>
    <comment ref="C11" authorId="0" shapeId="0">
      <text>
        <t>Editable target metric override. Keep the displayed units.</t>
      </text>
    </comment>
    <comment ref="C12" authorId="0" shapeId="0">
      <text>
        <t>Editable target metric override. Keep the displayed units.</t>
      </text>
    </comment>
    <comment ref="C17" authorId="0" shapeId="0">
      <text>
        <t>Editable student assumption. The initial value matches the automated model so differences are attributable to your judgment.</t>
      </text>
    </comment>
    <comment ref="C23" authorId="0" shapeId="0">
      <text>
        <t>Editable student assumption. The initial value matches the automated model so differences are attributable to your judgment.</t>
      </text>
    </comment>
    <comment ref="C24" authorId="0" shapeId="0">
      <text>
        <t>Editable student assumption. The initial value matches the automated model so differences are attributable to your judgment.</t>
      </text>
    </comment>
    <comment ref="C25" authorId="0" shapeId="0">
      <text>
        <t>Editable student assumption. The initial value matches the automated model so differences are attributable to your judgment.</t>
      </text>
    </comment>
  </commentList>
</comment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0.xml.rels><Relationships xmlns="http://schemas.openxmlformats.org/package/2006/relationships"><Relationship Type="http://schemas.openxmlformats.org/officeDocument/2006/relationships/hyperlink" Target="https://data.sec.gov/api/xbrl/companyfacts/CIK0001652044.json" TargetMode="External" Id="rId1"/><Relationship Type="http://schemas.openxmlformats.org/officeDocument/2006/relationships/hyperlink" Target="https://www.sec.gov/Archives/edgar/data/1418091/000119312522202163/d283119ddefm14a.htm" TargetMode="External" Id="rId2"/><Relationship Type="http://schemas.openxmlformats.org/officeDocument/2006/relationships/hyperlink" Target="https://www.sec.gov/Archives/edgar/data/1418091/000119312522202163/d283119ddefm14a.htm" TargetMode="External" Id="rId3"/><Relationship Type="http://schemas.openxmlformats.org/officeDocument/2006/relationships/hyperlink" Target="https://www.sec.gov/Archives/edgar/data/1418091/000119312522202163/d283119ddefm14a.htm" TargetMode="External" Id="rId4"/><Relationship Type="http://schemas.openxmlformats.org/officeDocument/2006/relationships/hyperlink" Target="https://www.sec.gov/Archives/edgar/data/1087423/000119312518309766/d638933dex991.htm" TargetMode="External" Id="rId5"/><Relationship Type="http://schemas.openxmlformats.org/officeDocument/2006/relationships/hyperlink" Target="https://www.sec.gov/Archives/edgar/data/1418091/000119312522202163/d283119ddefm14a.htm" TargetMode="External" Id="rId6"/><Relationship Type="http://schemas.openxmlformats.org/officeDocument/2006/relationships/hyperlink" Target="https://www.sec.gov/Archives/edgar/data/789019/000119312516619689/d116815dex991.htm" TargetMode="External" Id="rId7"/><Relationship Type="http://schemas.openxmlformats.org/officeDocument/2006/relationships/hyperlink" Target="https://www.sec.gov/Archives/edgar/data/1418091/000119312522202163/d283119ddefm14a.htm" TargetMode="External" Id="rId8"/><Relationship Type="http://schemas.openxmlformats.org/officeDocument/2006/relationships/hyperlink" Target="https://www.sec.gov/Archives/edgar/data/1418091/000119312522202163/d283119ddefm14a.htm" TargetMode="External" Id="rId9"/><Relationship Type="http://schemas.openxmlformats.org/officeDocument/2006/relationships/hyperlink" Target="https://www.sec.gov/Archives/edgar/data/1085280/000119312514385947/d802367ddefm14a.htm" TargetMode="External" Id="rId10"/><Relationship Type="http://schemas.openxmlformats.org/officeDocument/2006/relationships/hyperlink" Target="https://www.sec.gov/Archives/edgar/data/1418091/000119312522202163/d283119ddefm14a.htm" TargetMode="External" Id="rId11"/><Relationship Type="http://schemas.openxmlformats.org/officeDocument/2006/relationships/hyperlink" Target="https://www.sec.gov/Archives/edgar/data/1418091/000119312522202163/d283119ddefm14a.htm" TargetMode="External" Id="rId12"/><Relationship Type="http://schemas.openxmlformats.org/officeDocument/2006/relationships/hyperlink" Target="https://www.sec.gov/Archives/edgar/data/1418091/000119312522202163/d283119ddefm14a.htm" TargetMode="External" Id="rId13"/><Relationship Type="http://schemas.openxmlformats.org/officeDocument/2006/relationships/hyperlink" Target="https://data.sec.gov/submissions/CIK0001652044.json" TargetMode="External" Id="rId14"/><Relationship Type="http://schemas.openxmlformats.org/officeDocument/2006/relationships/hyperlink" Target="https://data.sec.gov/api/xbrl/companyfacts/CIK0001652044.json" TargetMode="External" Id="rId15"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6.xml.rels><Relationships xmlns="http://schemas.openxmlformats.org/package/2006/relationships"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_rels/sheet7.xml.rels><Relationships xmlns="http://schemas.openxmlformats.org/package/2006/relationships"><Relationship Type="http://schemas.openxmlformats.org/officeDocument/2006/relationships/comments" Target="/xl/comments/comment4.xml" Id="comments"/><Relationship Type="http://schemas.openxmlformats.org/officeDocument/2006/relationships/vmlDrawing" Target="/xl/drawings/commentsDrawing4.vml" Id="anysvml"/></Relationships>
</file>

<file path=xl/worksheets/_rels/sheet8.xml.rels><Relationships xmlns="http://schemas.openxmlformats.org/package/2006/relationships"><Relationship Type="http://schemas.openxmlformats.org/officeDocument/2006/relationships/comments" Target="/xl/comments/comment5.xml" Id="comments"/><Relationship Type="http://schemas.openxmlformats.org/officeDocument/2006/relationships/vmlDrawing" Target="/xl/drawings/commentsDrawing5.vml" Id="anysvml"/></Relationships>
</file>

<file path=xl/worksheets/sheet1.xml><?xml version="1.0" encoding="utf-8"?>
<worksheet xmlns="http://schemas.openxmlformats.org/spreadsheetml/2006/main">
  <sheetPr filterMode="0">
    <tabColor rgb="FF17365D"/>
    <outlinePr summaryBelow="1" summaryRight="1"/>
    <pageSetUpPr fitToPage="1"/>
  </sheetPr>
  <dimension ref="A1:H35"/>
  <sheetViews>
    <sheetView showFormulas="0" showGridLines="0" showRowColHeaders="1" showZeros="1" rightToLeft="0" tabSelected="1" showOutlineSymbols="1" defaultGridColor="1" view="normal" topLeftCell="A1" colorId="64" zoomScale="90" zoomScaleNormal="9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84" min="1" max="1"/>
    <col width="18" customWidth="1" style="84" min="2" max="4"/>
    <col width="15" customWidth="1" style="84" min="5" max="5"/>
    <col width="20" customWidth="1" style="84" min="6" max="8"/>
  </cols>
  <sheetData>
    <row r="1" ht="27" customHeight="1" s="85">
      <c r="A1" s="86" t="inlineStr">
        <is>
          <t>Alphabet Inc. (GOOGL)</t>
        </is>
      </c>
    </row>
    <row r="2" ht="25.5" customHeight="1" s="85">
      <c r="A2" s="87" t="inlineStr">
        <is>
          <t>FIN 4004 — Chapter 2: Comparable Transactions</t>
        </is>
      </c>
    </row>
    <row r="3"/>
    <row r="4" ht="18" customHeight="1" s="85">
      <c r="A4" s="88" t="inlineStr">
        <is>
          <t>Valuation context</t>
        </is>
      </c>
      <c r="F4" s="88" t="inlineStr">
        <is>
          <t>Model status</t>
        </is>
      </c>
    </row>
    <row r="5" ht="15" customHeight="1" s="85">
      <c r="A5" s="89" t="inlineStr">
        <is>
          <t>Company</t>
        </is>
      </c>
      <c r="B5" s="90" t="inlineStr">
        <is>
          <t>Alphabet Inc.</t>
        </is>
      </c>
      <c r="F5" s="91">
        <f>Checks!B4</f>
        <v/>
      </c>
      <c r="G5" s="92" t="n"/>
      <c r="H5" s="92" t="n"/>
    </row>
    <row r="6" ht="15" customHeight="1" s="85">
      <c r="A6" s="89" t="inlineStr">
        <is>
          <t>Ticker</t>
        </is>
      </c>
      <c r="B6" s="90" t="inlineStr">
        <is>
          <t>GOOGL</t>
        </is>
      </c>
      <c r="F6" s="93" t="n"/>
    </row>
    <row r="7" ht="15" customHeight="1" s="85">
      <c r="A7" s="89" t="inlineStr">
        <is>
          <t>Method</t>
        </is>
      </c>
      <c r="B7" s="90" t="inlineStr">
        <is>
          <t>2 — Comparable Transactions</t>
        </is>
      </c>
    </row>
    <row r="8" ht="15" customHeight="1" s="85">
      <c r="A8" s="89" t="inlineStr">
        <is>
          <t>Valuation Date</t>
        </is>
      </c>
      <c r="B8" s="94" t="n">
        <v>46242</v>
      </c>
      <c r="F8" s="95" t="inlineStr">
        <is>
          <t>PASS = integrity checks passed. LIMITED = usable only with the disclosed data limitation. FAIL = correct the model before use.</t>
        </is>
      </c>
    </row>
    <row r="9" ht="15" customHeight="1" s="85">
      <c r="A9" s="89" t="inlineStr">
        <is>
          <t>Currency</t>
        </is>
      </c>
      <c r="B9" s="90" t="inlineStr">
        <is>
          <t>USD</t>
        </is>
      </c>
    </row>
    <row r="10" ht="18" customHeight="1" s="85">
      <c r="A10" s="89" t="inlineStr">
        <is>
          <t>Display Units</t>
        </is>
      </c>
      <c r="B10" s="90" t="inlineStr">
        <is>
          <t>USD millions, except per-share data</t>
        </is>
      </c>
      <c r="F10" s="88" t="inlineStr">
        <is>
          <t>Model status detail</t>
        </is>
      </c>
    </row>
    <row r="11" ht="15" customHeight="1" s="85">
      <c r="A11" s="89" t="inlineStr">
        <is>
          <t>Model Version</t>
        </is>
      </c>
      <c r="B11" s="90" t="inlineStr">
        <is>
          <t>3.0 — five-step AI valuation and student template</t>
        </is>
      </c>
      <c r="F11" s="96">
        <f>IF(Checks!B4="PASS","All integrity and selected-evidence checks passed.",IF(Checks!B4="FAIL","Correct failed checks before use.",IF(AND(Assumptions!B23&gt;0,Valuation!K6&lt;Assumptions!B6),"LIMITED: EV / Revenue excluded ("&amp;Valuation!K6&amp;" observations &lt; "&amp;Assumptions!B6&amp;"). Selected value uses only qualifying methods.",IF(AND(Assumptions!B24&gt;0,Valuation!K7&lt;Assumptions!B6),"LIMITED: EV / EBITDA excluded ("&amp;Valuation!K7&amp;" observations &lt; "&amp;Assumptions!B6&amp;"). Selected value uses only qualifying methods.","LIMITED: review Checks for the specific source, bridge, or evidence limitation."))))</f>
        <v/>
      </c>
    </row>
    <row r="12" ht="15" customHeight="1" s="85"/>
    <row r="13"/>
    <row r="14" ht="18" customHeight="1" s="85">
      <c r="A14" s="88" t="inlineStr">
        <is>
          <t>Key output — AI valuation vs student template</t>
        </is>
      </c>
    </row>
    <row r="15" ht="28.5" customHeight="1" s="85">
      <c r="A15" s="97" t="inlineStr">
        <is>
          <t>Output</t>
        </is>
      </c>
      <c r="B15" s="97" t="inlineStr">
        <is>
          <t>AI Valuation</t>
        </is>
      </c>
      <c r="C15" s="97" t="inlineStr">
        <is>
          <t>Student Template</t>
        </is>
      </c>
      <c r="D15" s="97" t="inlineStr">
        <is>
          <t>Difference</t>
        </is>
      </c>
      <c r="E15" s="97" t="inlineStr">
        <is>
          <t>Units</t>
        </is>
      </c>
      <c r="F15" s="97" t="inlineStr">
        <is>
          <t>Read This</t>
        </is>
      </c>
      <c r="G15" s="97" t="n"/>
      <c r="H15" s="97" t="n"/>
    </row>
    <row r="16" ht="39.55" customHeight="1" s="85">
      <c r="A16" s="98" t="inlineStr">
        <is>
          <t>Implied Share Price</t>
        </is>
      </c>
      <c r="B16" s="99">
        <f>Valuation!B16</f>
        <v/>
      </c>
      <c r="C16" s="99">
        <f>Valuation!C16</f>
        <v/>
      </c>
      <c r="D16" s="100">
        <f>IF(AND(ISNUMBER(B16),ISNUMBER(C16)),C16-B16,"N/M")</f>
        <v/>
      </c>
      <c r="E16" s="98" t="inlineStr">
        <is>
          <t>USD/share</t>
        </is>
      </c>
      <c r="F16" s="101" t="inlineStr">
        <is>
          <t>Open AI Valuation for the completed Step I–V answer key. The student template starts equal to it; change blue assumptions, then explain the difference.</t>
        </is>
      </c>
      <c r="G16" s="102" t="n"/>
      <c r="H16" s="102" t="n"/>
    </row>
    <row r="17"/>
    <row r="18"/>
    <row r="19" ht="18" customHeight="1" s="85">
      <c r="A19" s="88" t="inlineStr">
        <is>
          <t>Required five-step chapter workflow</t>
        </is>
      </c>
    </row>
    <row r="20" ht="15" customHeight="1" s="85">
      <c r="A20" s="103" t="inlineStr">
        <is>
          <t>Step I. Select the Universe of Comparable Acquisitions — Transaction Screening</t>
        </is>
      </c>
    </row>
    <row r="21" ht="15" customHeight="1" s="85">
      <c r="A21" s="103" t="inlineStr">
        <is>
          <t>Step II. Locate the Necessary Deal-Related and Financial Information — Source Data</t>
        </is>
      </c>
    </row>
    <row r="22" ht="15" customHeight="1" s="85">
      <c r="A22" s="103" t="inlineStr">
        <is>
          <t>Step III. Spread Key Statistics, Ratios, and Transaction Multiples — Precedent Transactions</t>
        </is>
      </c>
    </row>
    <row r="23" ht="15" customHeight="1" s="85">
      <c r="A23" s="103" t="inlineStr">
        <is>
          <t>Step IV. Benchmark the Comparable Acquisitions — Benchmarking</t>
        </is>
      </c>
    </row>
    <row r="24" ht="15" customHeight="1" s="85">
      <c r="A24" s="103" t="inlineStr">
        <is>
          <t>Step V. Determine Valuation — Valuation</t>
        </is>
      </c>
    </row>
    <row r="25"/>
    <row r="26"/>
    <row r="27" ht="18" customHeight="1" s="85">
      <c r="A27" s="88" t="inlineStr">
        <is>
          <t>Color legend</t>
        </is>
      </c>
    </row>
    <row r="28" ht="15" customHeight="1" s="85">
      <c r="A28" s="104" t="inlineStr">
        <is>
          <t>Blue input</t>
        </is>
      </c>
      <c r="B28" s="90" t="inlineStr">
        <is>
          <t>Editable assumption / inclusion decision</t>
        </is>
      </c>
    </row>
    <row r="29" ht="15" customHeight="1" s="85">
      <c r="A29" s="105" t="inlineStr">
        <is>
          <t>Green formula</t>
        </is>
      </c>
      <c r="B29" s="90" t="inlineStr">
        <is>
          <t>Link to another worksheet in this workbook</t>
        </is>
      </c>
    </row>
    <row r="30" ht="15" customHeight="1" s="85">
      <c r="A30" s="106" t="inlineStr">
        <is>
          <t>Black</t>
        </is>
      </c>
      <c r="B30" s="90" t="inlineStr">
        <is>
          <t>Source value or formula calculated on the same sheet</t>
        </is>
      </c>
    </row>
    <row r="31" ht="15" customHeight="1" s="85">
      <c r="A31" s="107" t="inlineStr">
        <is>
          <t>N/M</t>
        </is>
      </c>
      <c r="B31" s="90" t="inlineStr">
        <is>
          <t>Not meaningful / not available; read the adjacent explanation</t>
        </is>
      </c>
    </row>
    <row r="32"/>
    <row r="33"/>
    <row r="34" ht="18" customHeight="1" s="85">
      <c r="A34" s="88" t="inlineStr">
        <is>
          <t>Data warnings</t>
        </is>
      </c>
    </row>
    <row r="35" ht="26.85" customHeight="1" s="85">
      <c r="A35" s="108" t="inlineStr">
        <is>
          <t>• The newest packaged public precedent transaction is dated 2021-02-01. Treat the result as a teaching screen and import newer sourced deals or licensed transaction data for an investment conclusion.</t>
        </is>
      </c>
    </row>
  </sheetData>
  <mergeCells count="30">
    <mergeCell ref="B11:D11"/>
    <mergeCell ref="A4:D4"/>
    <mergeCell ref="B8:D8"/>
    <mergeCell ref="F11:H12"/>
    <mergeCell ref="A24:H24"/>
    <mergeCell ref="B30:H30"/>
    <mergeCell ref="A1:H1"/>
    <mergeCell ref="B10:D10"/>
    <mergeCell ref="B9:D9"/>
    <mergeCell ref="A27:H27"/>
    <mergeCell ref="B6:D6"/>
    <mergeCell ref="B31:H31"/>
    <mergeCell ref="B5:D5"/>
    <mergeCell ref="A21:H21"/>
    <mergeCell ref="F5:H6"/>
    <mergeCell ref="A2:H2"/>
    <mergeCell ref="F4:H4"/>
    <mergeCell ref="F8:H9"/>
    <mergeCell ref="A14:H14"/>
    <mergeCell ref="A23:H23"/>
    <mergeCell ref="B7:D7"/>
    <mergeCell ref="A22:H22"/>
    <mergeCell ref="F10:H10"/>
    <mergeCell ref="F16:H16"/>
    <mergeCell ref="A35:H35"/>
    <mergeCell ref="A20:H20"/>
    <mergeCell ref="A19:H19"/>
    <mergeCell ref="B29:H29"/>
    <mergeCell ref="B28:H28"/>
    <mergeCell ref="A34:H34"/>
  </mergeCells>
  <conditionalFormatting sqref="F5">
    <cfRule type="expression" rank="0" priority="2" equalAverage="0" aboveAverage="0" dxfId="0" text="" percent="0" bottom="0">
      <formula>EXACT(F5,"PASS")</formula>
    </cfRule>
    <cfRule type="expression" rank="0" priority="3" equalAverage="0" aboveAverage="0" dxfId="1" text="" percent="0" bottom="0">
      <formula>EXACT(F5,"LIMITED")</formula>
    </cfRule>
    <cfRule type="expression" rank="0" priority="4" equalAverage="0" aboveAverage="0" dxfId="2" text="" percent="0" bottom="0">
      <formula>EXACT(F5,"FAIL")</formula>
    </cfRule>
  </conditionalFormatting>
  <printOptions horizontalCentered="0" verticalCentered="0" headings="0" gridLines="0" gridLinesSet="1"/>
  <pageMargins left="0.75" right="0.75" top="1" bottom="1" header="0.511811023622047" footer="0.5"/>
  <pageSetup orientation="portrait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</worksheet>
</file>

<file path=xl/worksheets/sheet10.xml><?xml version="1.0" encoding="utf-8"?>
<worksheet xmlns="http://schemas.openxmlformats.org/spreadsheetml/2006/main">
  <sheetPr filterMode="0">
    <tabColor rgb="FF70AD47"/>
    <outlinePr summaryBelow="1" summaryRight="1"/>
    <pageSetUpPr fitToPage="1"/>
  </sheetPr>
  <dimension ref="A1:H19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14" customWidth="1" style="84" min="1" max="1"/>
    <col width="25" customWidth="1" style="84" min="2" max="2"/>
    <col width="28" customWidth="1" style="84" min="3" max="3"/>
    <col width="15" customWidth="1" style="84" min="4" max="4"/>
    <col width="22" customWidth="1" style="84" min="5" max="5"/>
    <col width="55" customWidth="1" style="84" min="6" max="6"/>
    <col width="15" customWidth="1" style="84" min="7" max="7"/>
    <col width="52" customWidth="1" style="84" min="8" max="8"/>
  </cols>
  <sheetData>
    <row r="1" ht="27" customHeight="1" s="85">
      <c r="A1" s="86" t="inlineStr">
        <is>
          <t>Sources and Audit Trail</t>
        </is>
      </c>
    </row>
    <row r="2" ht="25.5" customHeight="1" s="85">
      <c r="A2" s="87" t="inlineStr">
        <is>
          <t>Plain-text URLs, periods, and notes supporting downloaded data and code-generated assumptions.</t>
        </is>
      </c>
    </row>
    <row r="3"/>
    <row r="4" ht="28.5" customHeight="1" s="85">
      <c r="A4" s="97" t="inlineStr">
        <is>
          <t>Source ID</t>
        </is>
      </c>
      <c r="B4" s="97" t="inlineStr">
        <is>
          <t>Item / Field</t>
        </is>
      </c>
      <c r="C4" s="97" t="inlineStr">
        <is>
          <t>Value / Definition</t>
        </is>
      </c>
      <c r="D4" s="97" t="inlineStr">
        <is>
          <t>Period / As of</t>
        </is>
      </c>
      <c r="E4" s="97" t="inlineStr">
        <is>
          <t>Source</t>
        </is>
      </c>
      <c r="F4" s="97" t="inlineStr">
        <is>
          <t>URL</t>
        </is>
      </c>
      <c r="G4" s="97" t="inlineStr">
        <is>
          <t>Accessed</t>
        </is>
      </c>
      <c r="H4" s="97" t="inlineStr">
        <is>
          <t>Notes</t>
        </is>
      </c>
    </row>
    <row r="5" ht="105.95" customHeight="1" s="85">
      <c r="A5" s="143" t="inlineStr">
        <is>
          <t>SRC-TARGET</t>
        </is>
      </c>
      <c r="B5" s="154" t="inlineStr">
        <is>
          <t>Target company financials and valuation-date market bridge</t>
        </is>
      </c>
      <c r="C5" s="154" t="inlineStr">
        <is>
          <t>N/M</t>
        </is>
      </c>
      <c r="D5" s="143" t="inlineStr">
        <is>
          <t>2026-08-08</t>
        </is>
      </c>
      <c r="E5" s="143" t="inlineStr">
        <is>
          <t>SEC EDGAR Company Facts and dated public market data</t>
        </is>
      </c>
      <c r="F5" s="164" t="inlineStr">
        <is>
          <t>https://data.sec.gov/api/xbrl/companyfacts/CIK0001652044.json</t>
        </is>
      </c>
      <c r="G5" s="165" t="n">
        <v>46242</v>
      </c>
      <c r="H5" s="154" t="inlineStr">
        <is>
          <t>Alphabet equity value uses the provider's consolidated market capitalization. Multiplying one listed share-class price by registrant-level shares does not reliably reconcile all Alphabet share classes.; Share count uses latest fiscal-year diluted weighted-average shares as a valuation approximation because the market source did not provide a current diluted count.; SEC debt and cash bridge reference: 10-Q balance sheet ended 2026-06-30 and filed 2026-07-23; provider-supplied bridge fields take priority when present.; Market-data URL: https://www.nasdaq.com/market-activity/stocks/googl; Balance-sheet period: 2026-06-30; Balance-sheet filed: 2026-07-23</t>
        </is>
      </c>
    </row>
    <row r="6" ht="22.35" customHeight="1" s="85">
      <c r="A6" s="143" t="inlineStr">
        <is>
          <t>SRC-DEAL-01</t>
        </is>
      </c>
      <c r="B6" s="154" t="inlineStr">
        <is>
          <t>Transaction: Magnite, Inc. / SpotX, Inc.</t>
        </is>
      </c>
      <c r="C6" s="154" t="inlineStr">
        <is>
          <t>N/M</t>
        </is>
      </c>
      <c r="D6" s="143" t="inlineStr">
        <is>
          <t>2021-02-01</t>
        </is>
      </c>
      <c r="E6" s="143" t="inlineStr">
        <is>
          <t>public company or SEC disclosure</t>
        </is>
      </c>
      <c r="F6" s="164" t="inlineStr">
        <is>
          <t>https://www.sec.gov/Archives/edgar/data/1418091/000119312522202163/d283119ddefm14a.htm</t>
        </is>
      </c>
      <c r="G6" s="165" t="n">
        <v>46242</v>
      </c>
      <c r="H6" s="154" t="inlineStr">
        <is>
          <t>EV/LTM EBITDA reported in Twitter's 2022 merger proxy; month-level date</t>
        </is>
      </c>
    </row>
    <row r="7" ht="32.8" customHeight="1" s="85">
      <c r="A7" s="143" t="inlineStr">
        <is>
          <t>SRC-DEAL-02</t>
        </is>
      </c>
      <c r="B7" s="154" t="inlineStr">
        <is>
          <t>Transaction: Just Eat Takeaway.com N.V. / Grubhub Inc.</t>
        </is>
      </c>
      <c r="C7" s="154" t="inlineStr">
        <is>
          <t>N/M</t>
        </is>
      </c>
      <c r="D7" s="143" t="inlineStr">
        <is>
          <t>2020-06-01</t>
        </is>
      </c>
      <c r="E7" s="143" t="inlineStr">
        <is>
          <t>public company or SEC disclosure</t>
        </is>
      </c>
      <c r="F7" s="164" t="inlineStr">
        <is>
          <t>https://www.sec.gov/Archives/edgar/data/1418091/000119312522202163/d283119ddefm14a.htm</t>
        </is>
      </c>
      <c r="G7" s="165" t="n">
        <v>46242</v>
      </c>
      <c r="H7" s="154" t="inlineStr">
        <is>
          <t>EV/LTM EBITDA reported in Twitter's 2022 merger proxy; month-level date</t>
        </is>
      </c>
    </row>
    <row r="8" ht="22.35" customHeight="1" s="85">
      <c r="A8" s="143" t="inlineStr">
        <is>
          <t>SRC-DEAL-03</t>
        </is>
      </c>
      <c r="B8" s="154" t="inlineStr">
        <is>
          <t>Transaction: Hellman &amp; Friedman LLC / AutoScout24</t>
        </is>
      </c>
      <c r="C8" s="154" t="inlineStr">
        <is>
          <t>N/M</t>
        </is>
      </c>
      <c r="D8" s="143" t="inlineStr">
        <is>
          <t>2019-12-01</t>
        </is>
      </c>
      <c r="E8" s="143" t="inlineStr">
        <is>
          <t>public company or SEC disclosure</t>
        </is>
      </c>
      <c r="F8" s="164" t="inlineStr">
        <is>
          <t>https://www.sec.gov/Archives/edgar/data/1418091/000119312522202163/d283119ddefm14a.htm</t>
        </is>
      </c>
      <c r="G8" s="165" t="n">
        <v>46242</v>
      </c>
      <c r="H8" s="154" t="inlineStr">
        <is>
          <t>EV/LTM EBITDA reported in Twitter's 2022 merger proxy; month-level date</t>
        </is>
      </c>
    </row>
    <row r="9" ht="32.8" customHeight="1" s="85">
      <c r="A9" s="143" t="inlineStr">
        <is>
          <t>SRC-DEAL-04</t>
        </is>
      </c>
      <c r="B9" s="154" t="inlineStr">
        <is>
          <t>Transaction: International Business Machines Corporation / Red Hat Inc.</t>
        </is>
      </c>
      <c r="C9" s="154" t="inlineStr">
        <is>
          <t>N/M</t>
        </is>
      </c>
      <c r="D9" s="143" t="inlineStr">
        <is>
          <t>2018-10-28</t>
        </is>
      </c>
      <c r="E9" s="143" t="inlineStr">
        <is>
          <t>public company or SEC disclosure</t>
        </is>
      </c>
      <c r="F9" s="164" t="inlineStr">
        <is>
          <t>https://www.sec.gov/Archives/edgar/data/1087423/000119312518309766/d638933dex991.htm</t>
        </is>
      </c>
      <c r="G9" s="165" t="n">
        <v>46242</v>
      </c>
      <c r="H9" s="154" t="inlineStr">
        <is>
          <t>Transaction value and FY2019 estimated operating metrics disclosed in announcement and merger proxy; EBITDA is pre-SBC; raw amounts are USD</t>
        </is>
      </c>
    </row>
    <row r="10" ht="22.35" customHeight="1" s="85">
      <c r="A10" s="143" t="inlineStr">
        <is>
          <t>SRC-DEAL-05</t>
        </is>
      </c>
      <c r="B10" s="154" t="inlineStr">
        <is>
          <t>Transaction: Silver Lake / ZPG Plc</t>
        </is>
      </c>
      <c r="C10" s="154" t="inlineStr">
        <is>
          <t>N/M</t>
        </is>
      </c>
      <c r="D10" s="143" t="inlineStr">
        <is>
          <t>2018-05-01</t>
        </is>
      </c>
      <c r="E10" s="143" t="inlineStr">
        <is>
          <t>public company or SEC disclosure</t>
        </is>
      </c>
      <c r="F10" s="164" t="inlineStr">
        <is>
          <t>https://www.sec.gov/Archives/edgar/data/1418091/000119312522202163/d283119ddefm14a.htm</t>
        </is>
      </c>
      <c r="G10" s="165" t="n">
        <v>46242</v>
      </c>
      <c r="H10" s="154" t="inlineStr">
        <is>
          <t>EV/LTM EBITDA reported in Twitter's 2022 merger proxy; month-level date</t>
        </is>
      </c>
    </row>
    <row r="11" ht="32.8" customHeight="1" s="85">
      <c r="A11" s="143" t="inlineStr">
        <is>
          <t>SRC-DEAL-06</t>
        </is>
      </c>
      <c r="B11" s="154" t="inlineStr">
        <is>
          <t>Transaction: Microsoft Corporation / LinkedIn Corporation</t>
        </is>
      </c>
      <c r="C11" s="154" t="inlineStr">
        <is>
          <t>N/M</t>
        </is>
      </c>
      <c r="D11" s="143" t="inlineStr">
        <is>
          <t>2016-06-13</t>
        </is>
      </c>
      <c r="E11" s="143" t="inlineStr">
        <is>
          <t>public company or SEC disclosure</t>
        </is>
      </c>
      <c r="F11" s="164" t="inlineStr">
        <is>
          <t>https://www.sec.gov/Archives/edgar/data/789019/000119312516619689/d116815dex991.htm</t>
        </is>
      </c>
      <c r="G11" s="165" t="n">
        <v>46242</v>
      </c>
      <c r="H11" s="154" t="inlineStr">
        <is>
          <t>Transaction value and FY2016 estimated operating metrics disclosed in announcement and merger proxy; raw amounts are USD</t>
        </is>
      </c>
    </row>
    <row r="12" ht="22.35" customHeight="1" s="85">
      <c r="A12" s="143" t="inlineStr">
        <is>
          <t>SRC-DEAL-07</t>
        </is>
      </c>
      <c r="B12" s="154" t="inlineStr">
        <is>
          <t>Transaction: Expedia, Inc. / HomeAway, Inc.</t>
        </is>
      </c>
      <c r="C12" s="154" t="inlineStr">
        <is>
          <t>N/M</t>
        </is>
      </c>
      <c r="D12" s="143" t="inlineStr">
        <is>
          <t>2015-11-01</t>
        </is>
      </c>
      <c r="E12" s="143" t="inlineStr">
        <is>
          <t>public company or SEC disclosure</t>
        </is>
      </c>
      <c r="F12" s="164" t="inlineStr">
        <is>
          <t>https://www.sec.gov/Archives/edgar/data/1418091/000119312522202163/d283119ddefm14a.htm</t>
        </is>
      </c>
      <c r="G12" s="165" t="n">
        <v>46242</v>
      </c>
      <c r="H12" s="154" t="inlineStr">
        <is>
          <t>EV/LTM EBITDA reported in Twitter's 2022 merger proxy; month-level date</t>
        </is>
      </c>
    </row>
    <row r="13" ht="22.35" customHeight="1" s="85">
      <c r="A13" s="143" t="inlineStr">
        <is>
          <t>SRC-DEAL-08</t>
        </is>
      </c>
      <c r="B13" s="154" t="inlineStr">
        <is>
          <t>Transaction: Liberty Interactive Corporation / zulily, inc.</t>
        </is>
      </c>
      <c r="C13" s="154" t="inlineStr">
        <is>
          <t>N/M</t>
        </is>
      </c>
      <c r="D13" s="143" t="inlineStr">
        <is>
          <t>2015-08-01</t>
        </is>
      </c>
      <c r="E13" s="143" t="inlineStr">
        <is>
          <t>public company or SEC disclosure</t>
        </is>
      </c>
      <c r="F13" s="164" t="inlineStr">
        <is>
          <t>https://www.sec.gov/Archives/edgar/data/1418091/000119312522202163/d283119ddefm14a.htm</t>
        </is>
      </c>
      <c r="G13" s="165" t="n">
        <v>46242</v>
      </c>
      <c r="H13" s="154" t="inlineStr">
        <is>
          <t>EV/LTM EBITDA reported in Twitter's 2022 merger proxy; month-level date</t>
        </is>
      </c>
    </row>
    <row r="14" ht="22.35" customHeight="1" s="85">
      <c r="A14" s="143" t="inlineStr">
        <is>
          <t>SRC-DEAL-09</t>
        </is>
      </c>
      <c r="B14" s="154" t="inlineStr">
        <is>
          <t>Transaction: Vista Equity Partners / TIBCO Software Inc.</t>
        </is>
      </c>
      <c r="C14" s="154" t="inlineStr">
        <is>
          <t>N/M</t>
        </is>
      </c>
      <c r="D14" s="143" t="inlineStr">
        <is>
          <t>2014-09-29</t>
        </is>
      </c>
      <c r="E14" s="143" t="inlineStr">
        <is>
          <t>public company or SEC disclosure</t>
        </is>
      </c>
      <c r="F14" s="164" t="inlineStr">
        <is>
          <t>https://www.sec.gov/Archives/edgar/data/1085280/000119312514385947/d802367ddefm14a.htm</t>
        </is>
      </c>
      <c r="G14" s="165" t="n">
        <v>46242</v>
      </c>
      <c r="H14" s="154" t="inlineStr">
        <is>
          <t>Enterprise value and FY2014 estimated operating metrics disclosed in merger proxy; raw amounts are USD</t>
        </is>
      </c>
    </row>
    <row r="15" ht="22.35" customHeight="1" s="85">
      <c r="A15" s="143" t="inlineStr">
        <is>
          <t>SRC-DEAL-10</t>
        </is>
      </c>
      <c r="B15" s="154" t="inlineStr">
        <is>
          <t>Transaction: The Priceline Group Inc. / OpenTable, Inc.</t>
        </is>
      </c>
      <c r="C15" s="154" t="inlineStr">
        <is>
          <t>N/M</t>
        </is>
      </c>
      <c r="D15" s="143" t="inlineStr">
        <is>
          <t>2014-06-01</t>
        </is>
      </c>
      <c r="E15" s="143" t="inlineStr">
        <is>
          <t>public company or SEC disclosure</t>
        </is>
      </c>
      <c r="F15" s="164" t="inlineStr">
        <is>
          <t>https://www.sec.gov/Archives/edgar/data/1418091/000119312522202163/d283119ddefm14a.htm</t>
        </is>
      </c>
      <c r="G15" s="165" t="n">
        <v>46242</v>
      </c>
      <c r="H15" s="154" t="inlineStr">
        <is>
          <t>EV/LTM EBITDA reported in Twitter's 2022 merger proxy; month-level date</t>
        </is>
      </c>
    </row>
    <row r="16" ht="32.8" customHeight="1" s="85">
      <c r="A16" s="143" t="inlineStr">
        <is>
          <t>SRC-DEAL-11</t>
        </is>
      </c>
      <c r="B16" s="154" t="inlineStr">
        <is>
          <t>Transaction: priceline.com Incorporated / KAYAK Software Corporation</t>
        </is>
      </c>
      <c r="C16" s="154" t="inlineStr">
        <is>
          <t>N/M</t>
        </is>
      </c>
      <c r="D16" s="143" t="inlineStr">
        <is>
          <t>2012-11-01</t>
        </is>
      </c>
      <c r="E16" s="143" t="inlineStr">
        <is>
          <t>public company or SEC disclosure</t>
        </is>
      </c>
      <c r="F16" s="164" t="inlineStr">
        <is>
          <t>https://www.sec.gov/Archives/edgar/data/1418091/000119312522202163/d283119ddefm14a.htm</t>
        </is>
      </c>
      <c r="G16" s="165" t="n">
        <v>46242</v>
      </c>
      <c r="H16" s="154" t="inlineStr">
        <is>
          <t>EV/LTM EBITDA reported in Twitter's 2022 merger proxy; month-level date</t>
        </is>
      </c>
    </row>
    <row r="17" ht="32.8" customHeight="1" s="85">
      <c r="A17" s="143" t="inlineStr">
        <is>
          <t>SRC-DEAL-12</t>
        </is>
      </c>
      <c r="B17" s="154" t="inlineStr">
        <is>
          <t>Transaction: Microsoft Corporation / Skype Global S. a r.l.</t>
        </is>
      </c>
      <c r="C17" s="154" t="inlineStr">
        <is>
          <t>N/M</t>
        </is>
      </c>
      <c r="D17" s="143" t="inlineStr">
        <is>
          <t>2011-05-01</t>
        </is>
      </c>
      <c r="E17" s="143" t="inlineStr">
        <is>
          <t>public company or SEC disclosure</t>
        </is>
      </c>
      <c r="F17" s="164" t="inlineStr">
        <is>
          <t>https://www.sec.gov/Archives/edgar/data/1418091/000119312522202163/d283119ddefm14a.htm</t>
        </is>
      </c>
      <c r="G17" s="165" t="n">
        <v>46242</v>
      </c>
      <c r="H17" s="154" t="inlineStr">
        <is>
          <t>EV/LTM EBITDA reported in Twitter's 2022 merger proxy; month-level date</t>
        </is>
      </c>
    </row>
    <row r="18" ht="15" customHeight="1" s="85">
      <c r="A18" s="143" t="inlineStr">
        <is>
          <t>SRC-SUBMISSIONS</t>
        </is>
      </c>
      <c r="B18" s="154" t="inlineStr">
        <is>
          <t>SEC submissions</t>
        </is>
      </c>
      <c r="C18" s="154" t="inlineStr">
        <is>
          <t>N/M</t>
        </is>
      </c>
      <c r="D18" s="143" t="inlineStr">
        <is>
          <t>N/M</t>
        </is>
      </c>
      <c r="E18" s="143" t="inlineStr">
        <is>
          <t>SEC EDGAR</t>
        </is>
      </c>
      <c r="F18" s="164" t="inlineStr">
        <is>
          <t>https://data.sec.gov/submissions/CIK0001652044.json</t>
        </is>
      </c>
      <c r="G18" s="165" t="n">
        <v>46242</v>
      </c>
      <c r="H18" s="154" t="inlineStr">
        <is>
          <t>N/M</t>
        </is>
      </c>
    </row>
    <row r="19" ht="15" customHeight="1" s="85">
      <c r="A19" s="143" t="inlineStr">
        <is>
          <t>SRC-COMPANYFACTS</t>
        </is>
      </c>
      <c r="B19" s="154" t="inlineStr">
        <is>
          <t>SEC Company Facts</t>
        </is>
      </c>
      <c r="C19" s="154" t="inlineStr">
        <is>
          <t>N/M</t>
        </is>
      </c>
      <c r="D19" s="143" t="inlineStr">
        <is>
          <t>N/M</t>
        </is>
      </c>
      <c r="E19" s="143" t="inlineStr">
        <is>
          <t>SEC EDGAR</t>
        </is>
      </c>
      <c r="F19" s="164" t="inlineStr">
        <is>
          <t>https://data.sec.gov/api/xbrl/companyfacts/CIK0001652044.json</t>
        </is>
      </c>
      <c r="G19" s="165" t="n">
        <v>46242</v>
      </c>
      <c r="H19" s="154" t="inlineStr">
        <is>
          <t>N/M</t>
        </is>
      </c>
    </row>
  </sheetData>
  <autoFilter ref="A4:H19"/>
  <mergeCells count="2">
    <mergeCell ref="A2:H2"/>
    <mergeCell ref="A1:H1"/>
  </mergeCells>
  <hyperlinks>
    <hyperlink xmlns:r="http://schemas.openxmlformats.org/officeDocument/2006/relationships" ref="F5" display="https://data.sec.gov/api/xbrl/companyfacts/CIK0001652044.json" r:id="rId1"/>
    <hyperlink xmlns:r="http://schemas.openxmlformats.org/officeDocument/2006/relationships" ref="F6" display="https://www.sec.gov/Archives/edgar/data/1418091/000119312522202163/d283119ddefm14a.htm" r:id="rId2"/>
    <hyperlink xmlns:r="http://schemas.openxmlformats.org/officeDocument/2006/relationships" ref="F7" display="https://www.sec.gov/Archives/edgar/data/1418091/000119312522202163/d283119ddefm14a.htm" r:id="rId3"/>
    <hyperlink xmlns:r="http://schemas.openxmlformats.org/officeDocument/2006/relationships" ref="F8" display="https://www.sec.gov/Archives/edgar/data/1418091/000119312522202163/d283119ddefm14a.htm" r:id="rId4"/>
    <hyperlink xmlns:r="http://schemas.openxmlformats.org/officeDocument/2006/relationships" ref="F9" display="https://www.sec.gov/Archives/edgar/data/1087423/000119312518309766/d638933dex991.htm" r:id="rId5"/>
    <hyperlink xmlns:r="http://schemas.openxmlformats.org/officeDocument/2006/relationships" ref="F10" display="https://www.sec.gov/Archives/edgar/data/1418091/000119312522202163/d283119ddefm14a.htm" r:id="rId6"/>
    <hyperlink xmlns:r="http://schemas.openxmlformats.org/officeDocument/2006/relationships" ref="F11" display="https://www.sec.gov/Archives/edgar/data/789019/000119312516619689/d116815dex991.htm" r:id="rId7"/>
    <hyperlink xmlns:r="http://schemas.openxmlformats.org/officeDocument/2006/relationships" ref="F12" display="https://www.sec.gov/Archives/edgar/data/1418091/000119312522202163/d283119ddefm14a.htm" r:id="rId8"/>
    <hyperlink xmlns:r="http://schemas.openxmlformats.org/officeDocument/2006/relationships" ref="F13" display="https://www.sec.gov/Archives/edgar/data/1418091/000119312522202163/d283119ddefm14a.htm" r:id="rId9"/>
    <hyperlink xmlns:r="http://schemas.openxmlformats.org/officeDocument/2006/relationships" ref="F14" display="https://www.sec.gov/Archives/edgar/data/1085280/000119312514385947/d802367ddefm14a.htm" r:id="rId10"/>
    <hyperlink xmlns:r="http://schemas.openxmlformats.org/officeDocument/2006/relationships" ref="F15" display="https://www.sec.gov/Archives/edgar/data/1418091/000119312522202163/d283119ddefm14a.htm" r:id="rId11"/>
    <hyperlink xmlns:r="http://schemas.openxmlformats.org/officeDocument/2006/relationships" ref="F16" display="https://www.sec.gov/Archives/edgar/data/1418091/000119312522202163/d283119ddefm14a.htm" r:id="rId12"/>
    <hyperlink xmlns:r="http://schemas.openxmlformats.org/officeDocument/2006/relationships" ref="F17" display="https://www.sec.gov/Archives/edgar/data/1418091/000119312522202163/d283119ddefm14a.htm" r:id="rId13"/>
    <hyperlink xmlns:r="http://schemas.openxmlformats.org/officeDocument/2006/relationships" ref="F18" display="https://data.sec.gov/submissions/CIK0001652044.json" r:id="rId14"/>
    <hyperlink xmlns:r="http://schemas.openxmlformats.org/officeDocument/2006/relationships" ref="F19" display="https://data.sec.gov/api/xbrl/companyfacts/CIK0001652044.json" r:id="rId15"/>
  </hyperlinks>
  <printOptions horizontalCentered="0" verticalCentered="0" headings="0" gridLines="0" gridLinesSet="1"/>
  <pageMargins left="0.75" right="0.75" top="1" bottom="1" header="0.511811023622047" footer="0.5"/>
  <pageSetup orientation="landscape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filterMode="0">
    <tabColor rgb="FF5B9BD5"/>
    <outlinePr summaryBelow="1" summaryRight="1"/>
    <pageSetUpPr fitToPage="1"/>
  </sheetPr>
  <dimension ref="A1:G16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9" customWidth="1" style="84" min="1" max="1"/>
    <col width="37" customWidth="1" style="84" min="2" max="2"/>
    <col width="25" customWidth="1" style="84" min="3" max="3"/>
    <col width="45" customWidth="1" style="84" min="4" max="4"/>
    <col width="47" customWidth="1" style="84" min="5" max="5"/>
    <col width="24" customWidth="1" style="84" min="6" max="6"/>
    <col width="30" customWidth="1" style="84" min="7" max="7"/>
  </cols>
  <sheetData>
    <row r="1" ht="27" customHeight="1" s="85">
      <c r="A1" s="86" t="inlineStr">
        <is>
          <t>Chapter 2: Comparable Transactions — Five-Step Valuation Exercise</t>
        </is>
      </c>
    </row>
    <row r="2" ht="25.5" customHeight="1" s="85">
      <c r="A2" s="87" t="inlineStr">
        <is>
          <t>Open AI Valuation for the fully populated Step I–V answer key. The student case initially reproduces the reference calculation; change only blue cells.</t>
        </is>
      </c>
    </row>
    <row r="3"/>
    <row r="4" ht="28.5" customHeight="1" s="85">
      <c r="A4" s="97" t="inlineStr">
        <is>
          <t>Step</t>
        </is>
      </c>
      <c r="B4" s="97" t="inlineStr">
        <is>
          <t>Required Chapter Step</t>
        </is>
      </c>
      <c r="C4" s="97" t="inlineStr">
        <is>
          <t>AI Valuation (Completed Analyst Calculation)</t>
        </is>
      </c>
      <c r="D4" s="97" t="inlineStr">
        <is>
          <t>AI Method / Calculation</t>
        </is>
      </c>
      <c r="E4" s="97" t="inlineStr">
        <is>
          <t>Student Template — What to Do</t>
        </is>
      </c>
      <c r="F4" s="97" t="inlineStr">
        <is>
          <t>Student Template Result</t>
        </is>
      </c>
      <c r="G4" s="97" t="inlineStr">
        <is>
          <t>Workbook Location / Check</t>
        </is>
      </c>
    </row>
    <row r="5" ht="75.75" customHeight="1" s="85">
      <c r="A5" s="109" t="inlineStr">
        <is>
          <t>Step I</t>
        </is>
      </c>
      <c r="B5" s="110" t="inlineStr">
        <is>
          <t>Select the Universe of Comparable Acquisitions</t>
        </is>
      </c>
      <c r="C5" s="111">
        <f>COUNTIF('Transaction Screening'!E6:E17,"Yes")&amp;" eligible of "&amp;COUNTA('Transaction Screening'!B6:B17)&amp;" sourced acquisitions"</f>
        <v/>
      </c>
      <c r="D5" s="110" t="inlineStr">
        <is>
          <t>Screened announcement date, age, cutoff, business relevance, and whether at least one meaningful transaction metric is available.</t>
        </is>
      </c>
      <c r="E5" s="110" t="inlineStr">
        <is>
          <t>Review every inclusion decision. Change the blue Yes/No cell only with a written deal-specific rationale.</t>
        </is>
      </c>
      <c r="F5" s="111">
        <f>COUNTIF('Transaction Screening'!F6:F17,"Yes")&amp;" student acquisitions selected"</f>
        <v/>
      </c>
      <c r="G5" s="110" t="inlineStr">
        <is>
          <t>Transaction Screening; Assumptions; Checks</t>
        </is>
      </c>
    </row>
    <row r="6" ht="75.75" customHeight="1" s="85">
      <c r="A6" s="109" t="inlineStr">
        <is>
          <t>Step II</t>
        </is>
      </c>
      <c r="B6" s="110" t="inlineStr">
        <is>
          <t>Locate the Necessary Deal-Related and Financial Information</t>
        </is>
      </c>
      <c r="C6" s="111">
        <f>COUNT('Source Data'!G15:L26)&amp;" populated deal and financial fields"</f>
        <v/>
      </c>
      <c r="D6" s="110" t="inlineStr">
        <is>
          <t>Collected the public deal value, debt/cash bridge where available, target financials, announcement date, and source citation.</t>
        </is>
      </c>
      <c r="E6" s="110" t="inlineStr">
        <is>
          <t>Trace each included deal to its source and verify that the financial period and deal value use compatible definitions.</t>
        </is>
      </c>
      <c r="F6" s="111">
        <f>COUNT(Assumptions!C8:C12)&amp;" target inputs ready"</f>
        <v/>
      </c>
      <c r="G6" s="110" t="inlineStr">
        <is>
          <t>Source Data; Sources; Assumptions</t>
        </is>
      </c>
    </row>
    <row r="7" ht="75.75" customHeight="1" s="85">
      <c r="A7" s="109" t="inlineStr">
        <is>
          <t>Step III</t>
        </is>
      </c>
      <c r="B7" s="110" t="inlineStr">
        <is>
          <t>Spread Key Statistics, Ratios, and Transaction Multiples</t>
        </is>
      </c>
      <c r="C7" s="111">
        <f>COUNT('Precedent Transactions'!B22:B33,'Precedent Transactions'!C22:C33,'Precedent Transactions'!D22:D33)</f>
        <v/>
      </c>
      <c r="D7" s="110" t="inlineStr">
        <is>
          <t>Calculated transaction enterprise value, EV/Revenue, EV/EBITDA, and unaffected premium without converting missing values to zero.</t>
        </is>
      </c>
      <c r="E7" s="110" t="inlineStr">
        <is>
          <t>Audit the enterprise-value bridge and keep revenue-only evidence even when EBITDA is not meaningful.</t>
        </is>
      </c>
      <c r="F7" s="111">
        <f>COUNT('Precedent Transactions'!G22:G33,'Precedent Transactions'!H22:H33,'Precedent Transactions'!I22:I33)</f>
        <v/>
      </c>
      <c r="G7" s="110" t="inlineStr">
        <is>
          <t>Precedent Transactions; Checks</t>
        </is>
      </c>
    </row>
    <row r="8" ht="75.75" customHeight="1" s="85">
      <c r="A8" s="109" t="inlineStr">
        <is>
          <t>Step IV</t>
        </is>
      </c>
      <c r="B8" s="110" t="inlineStr">
        <is>
          <t>Benchmark the Comparable Acquisitions</t>
        </is>
      </c>
      <c r="C8" s="111">
        <f>"Selected statistic: "&amp;Assumptions!B5</f>
        <v/>
      </c>
      <c r="D8" s="110" t="inlineStr">
        <is>
          <t>Benchmarked deal size, EBITDA margin, age, and the transaction-multiple distribution; limited samples remain visibly disclosed.</t>
        </is>
      </c>
      <c r="E8" s="110" t="inlineStr">
        <is>
          <t>Choose a blue statistic, compare deal economics, remove non-comparable acquisitions, and explain outliers.</t>
        </is>
      </c>
      <c r="F8" s="111">
        <f>"Student statistic: "&amp;Assumptions!C5</f>
        <v/>
      </c>
      <c r="G8" s="110" t="inlineStr">
        <is>
          <t>Benchmarking; Assumptions</t>
        </is>
      </c>
    </row>
    <row r="9" ht="75.75" customHeight="1" s="85">
      <c r="A9" s="109" t="inlineStr">
        <is>
          <t>Step V</t>
        </is>
      </c>
      <c r="B9" s="110" t="inlineStr">
        <is>
          <t>Determine Valuation</t>
        </is>
      </c>
      <c r="C9" s="112">
        <f>Valuation!B16</f>
        <v/>
      </c>
      <c r="D9" s="110" t="inlineStr">
        <is>
          <t>Applied qualifying transaction evidence to target metrics and bridged enterprise value to equity value and per-share value.</t>
        </is>
      </c>
      <c r="E9" s="110" t="inlineStr">
        <is>
          <t>Review low/base/high indications, change blue weights only for methods with adequate observations, and disclose any public-data limitation.</t>
        </is>
      </c>
      <c r="F9" s="112">
        <f>Valuation!C16</f>
        <v/>
      </c>
      <c r="G9" s="110" t="inlineStr">
        <is>
          <t>Valuation; Checks; Cover</t>
        </is>
      </c>
    </row>
    <row r="10"/>
    <row r="11" ht="18" customHeight="1" s="85">
      <c r="A11" s="88" t="inlineStr">
        <is>
          <t>Modeling conventions</t>
        </is>
      </c>
    </row>
    <row r="12" ht="15" customHeight="1" s="85">
      <c r="A12" s="113" t="inlineStr">
        <is>
          <t>• Blue font + blue fill = editable student assumption or inclusion decision.</t>
        </is>
      </c>
    </row>
    <row r="13" ht="15" customHeight="1" s="85">
      <c r="A13" s="113" t="inlineStr">
        <is>
          <t>• Green font = formula linked to another sheet in this workbook.</t>
        </is>
      </c>
    </row>
    <row r="14" ht="15" customHeight="1" s="85">
      <c r="A14" s="113" t="inlineStr">
        <is>
          <t>• Black font = formula on the same sheet or a downloaded source value.</t>
        </is>
      </c>
    </row>
    <row r="15" ht="15" customHeight="1" s="85">
      <c r="A15" s="113" t="inlineStr">
        <is>
          <t>• N/M = not meaningful or not available; read the adjacent note instead of treating it as zero.</t>
        </is>
      </c>
    </row>
    <row r="16" ht="15" customHeight="1" s="85">
      <c r="A16" s="113" t="inlineStr">
        <is>
          <t>• All monetary values use the unit scale shown on Cover. Do not mix dollars and millions.</t>
        </is>
      </c>
    </row>
  </sheetData>
  <mergeCells count="8">
    <mergeCell ref="A13:G13"/>
    <mergeCell ref="A11:F11"/>
    <mergeCell ref="A14:G14"/>
    <mergeCell ref="A1:G1"/>
    <mergeCell ref="A12:G12"/>
    <mergeCell ref="A2:G2"/>
    <mergeCell ref="A16:G16"/>
    <mergeCell ref="A15:G15"/>
  </mergeCells>
  <printOptions horizontalCentered="0" verticalCentered="0" headings="0" gridLines="0" gridLinesSet="1"/>
  <pageMargins left="0.75" right="0.75" top="1" bottom="1" header="0.511811023622047" footer="0.5"/>
  <pageSetup orientation="landscape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filterMode="0">
    <tabColor rgb="FF1F4E78"/>
    <outlinePr summaryBelow="1" summaryRight="1"/>
    <pageSetUpPr fitToPage="1"/>
  </sheetPr>
  <dimension ref="A1:L17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15" customWidth="1" style="84" min="1" max="1"/>
    <col width="26" customWidth="1" style="84" min="2" max="3"/>
    <col width="17" customWidth="1" style="84" min="4" max="4"/>
    <col width="14" customWidth="1" style="84" min="5" max="5"/>
    <col width="15" customWidth="1" style="84" min="6" max="6"/>
    <col width="13" customWidth="1" style="84" min="7" max="7"/>
    <col width="18" customWidth="1" style="84" min="8" max="8"/>
    <col width="15" customWidth="1" style="84" min="9" max="9"/>
    <col width="16" customWidth="1" style="84" min="10" max="10"/>
    <col width="58" customWidth="1" style="84" min="11" max="11"/>
    <col width="48" customWidth="1" style="84" min="12" max="12"/>
  </cols>
  <sheetData>
    <row r="1" ht="27" customHeight="1" s="85">
      <c r="A1" s="86" t="inlineStr">
        <is>
          <t>Step I. Select the Universe of Comparable Acquisitions</t>
        </is>
      </c>
    </row>
    <row r="2" ht="25.5" customHeight="1" s="85">
      <c r="A2" s="87" t="inlineStr">
        <is>
          <t>AI Valuation and Student Template screening appear side by side. Eligibility considers date, disclosed industry fit, source quality, and metric-specific transaction evidence.</t>
        </is>
      </c>
    </row>
    <row r="3"/>
    <row r="4"/>
    <row r="5" ht="28.5" customHeight="1" s="85">
      <c r="A5" s="97" t="inlineStr">
        <is>
          <t>Deal ID</t>
        </is>
      </c>
      <c r="B5" s="97" t="inlineStr">
        <is>
          <t>Target</t>
        </is>
      </c>
      <c r="C5" s="97" t="inlineStr">
        <is>
          <t>Acquirer</t>
        </is>
      </c>
      <c r="D5" s="97" t="inlineStr">
        <is>
          <t>Announcement Date</t>
        </is>
      </c>
      <c r="E5" s="97" t="inlineStr">
        <is>
          <t>Code Eligible</t>
        </is>
      </c>
      <c r="F5" s="97" t="inlineStr">
        <is>
          <t>Student Include</t>
        </is>
      </c>
      <c r="G5" s="97" t="inlineStr">
        <is>
          <t>Business Fit</t>
        </is>
      </c>
      <c r="H5" s="97" t="inlineStr">
        <is>
          <t>Data Quality</t>
        </is>
      </c>
      <c r="I5" s="97" t="inlineStr">
        <is>
          <t>Deal Age (Years)</t>
        </is>
      </c>
      <c r="J5" s="97" t="inlineStr">
        <is>
          <t>Cut-off Status</t>
        </is>
      </c>
      <c r="K5" s="97" t="inlineStr">
        <is>
          <t>Completed Screening Explanation</t>
        </is>
      </c>
      <c r="L5" s="97" t="inlineStr">
        <is>
          <t>Student Screening Rationale (editable)</t>
        </is>
      </c>
    </row>
    <row r="6" ht="33.75" customHeight="1" s="85">
      <c r="A6" s="114">
        <f>'Source Data'!A15</f>
        <v/>
      </c>
      <c r="B6" s="114">
        <f>'Source Data'!C15</f>
        <v/>
      </c>
      <c r="C6" s="114">
        <f>'Source Data'!D15</f>
        <v/>
      </c>
      <c r="D6" s="115">
        <f>'Source Data'!B15</f>
        <v/>
      </c>
      <c r="E6" s="114">
        <f>IF(AND('Source Data'!R15="Yes",J6="Eligible date",ISNUMBER(I6),I6&lt;=Assumptions!B17,AND(ISNUMBER(G6),G6&gt;=50),OR(OR(AND(ISNUMBER('Source Data'!H15),ISNUMBER('Source Data'!I15),'Source Data'!I15&gt;0),AND(ISNUMBER('Source Data'!O15),'Source Data'!O15&gt;0)),OR(AND(ISNUMBER('Source Data'!H15),ISNUMBER('Source Data'!J15),'Source Data'!J15&gt;0),AND(ISNUMBER('Source Data'!P15),'Source Data'!P15&gt;0)),OR(AND(ISNUMBER('Source Data'!K15),ISNUMBER('Source Data'!L15),'Source Data'!K15&gt;0),ISNUMBER('Source Data'!Q15)))),"Yes","No")</f>
        <v/>
      </c>
      <c r="F6" s="116">
        <f>IF(AND('Source Data'!R15="Yes",J6="Eligible date",ISNUMBER(I6),I6&lt;=Assumptions!C17,AND(ISNUMBER(G6),G6&gt;=50),OR(OR(AND(ISNUMBER('Source Data'!H15),ISNUMBER('Source Data'!I15),'Source Data'!I15&gt;0),AND(ISNUMBER('Source Data'!O15),'Source Data'!O15&gt;0)),OR(AND(ISNUMBER('Source Data'!H15),ISNUMBER('Source Data'!J15),'Source Data'!J15&gt;0),AND(ISNUMBER('Source Data'!P15),'Source Data'!P15&gt;0)),OR(AND(ISNUMBER('Source Data'!K15),ISNUMBER('Source Data'!L15),'Source Data'!K15&gt;0),ISNUMBER('Source Data'!Q15)))),"Yes","No")</f>
        <v/>
      </c>
      <c r="G6" s="117" t="n">
        <v>75</v>
      </c>
      <c r="H6" s="90" t="inlineStr">
        <is>
          <t>1 usable metric</t>
        </is>
      </c>
      <c r="I6" s="117" t="n">
        <v>5.51403148528405</v>
      </c>
      <c r="J6" s="90" t="inlineStr">
        <is>
          <t>Eligible date</t>
        </is>
      </c>
      <c r="K6" s="118" t="inlineStr">
        <is>
          <t>Universe-level industry fit derived from target sector digital_platforms and transaction sector technology_platform; deal-specific operating fit still requires analyst review. EV/LTM EBITDA reported in Twitter's 2022 merger proxy; month-level date</t>
        </is>
      </c>
      <c r="L6" s="119" t="inlineStr">
        <is>
          <t>Explain why this acquisition should be included or excluded.</t>
        </is>
      </c>
    </row>
    <row r="7" ht="33.75" customHeight="1" s="85">
      <c r="A7" s="114">
        <f>'Source Data'!A16</f>
        <v/>
      </c>
      <c r="B7" s="114">
        <f>'Source Data'!C16</f>
        <v/>
      </c>
      <c r="C7" s="114">
        <f>'Source Data'!D16</f>
        <v/>
      </c>
      <c r="D7" s="115">
        <f>'Source Data'!B16</f>
        <v/>
      </c>
      <c r="E7" s="114">
        <f>IF(AND('Source Data'!R16="Yes",J7="Eligible date",ISNUMBER(I7),I7&lt;=Assumptions!B17,AND(ISNUMBER(G7),G7&gt;=50),OR(OR(AND(ISNUMBER('Source Data'!H16),ISNUMBER('Source Data'!I16),'Source Data'!I16&gt;0),AND(ISNUMBER('Source Data'!O16),'Source Data'!O16&gt;0)),OR(AND(ISNUMBER('Source Data'!H16),ISNUMBER('Source Data'!J16),'Source Data'!J16&gt;0),AND(ISNUMBER('Source Data'!P16),'Source Data'!P16&gt;0)),OR(AND(ISNUMBER('Source Data'!K16),ISNUMBER('Source Data'!L16),'Source Data'!K16&gt;0),ISNUMBER('Source Data'!Q16)))),"Yes","No")</f>
        <v/>
      </c>
      <c r="F7" s="116">
        <f>IF(AND('Source Data'!R16="Yes",J7="Eligible date",ISNUMBER(I7),I7&lt;=Assumptions!C17,AND(ISNUMBER(G7),G7&gt;=50),OR(OR(AND(ISNUMBER('Source Data'!H16),ISNUMBER('Source Data'!I16),'Source Data'!I16&gt;0),AND(ISNUMBER('Source Data'!O16),'Source Data'!O16&gt;0)),OR(AND(ISNUMBER('Source Data'!H16),ISNUMBER('Source Data'!J16),'Source Data'!J16&gt;0),AND(ISNUMBER('Source Data'!P16),'Source Data'!P16&gt;0)),OR(AND(ISNUMBER('Source Data'!K16),ISNUMBER('Source Data'!L16),'Source Data'!K16&gt;0),ISNUMBER('Source Data'!Q16)))),"Yes","No")</f>
        <v/>
      </c>
      <c r="G7" s="117" t="n">
        <v>75</v>
      </c>
      <c r="H7" s="90" t="inlineStr">
        <is>
          <t>1 usable metric</t>
        </is>
      </c>
      <c r="I7" s="117" t="n">
        <v>6.18480492813142</v>
      </c>
      <c r="J7" s="90" t="inlineStr">
        <is>
          <t>Eligible date</t>
        </is>
      </c>
      <c r="K7" s="118" t="inlineStr">
        <is>
          <t>Universe-level industry fit derived from target sector digital_platforms and transaction sector technology_platform; deal-specific operating fit still requires analyst review. EV/LTM EBITDA reported in Twitter's 2022 merger proxy; month-level date</t>
        </is>
      </c>
      <c r="L7" s="119" t="inlineStr">
        <is>
          <t>Explain why this acquisition should be included or excluded.</t>
        </is>
      </c>
    </row>
    <row r="8" ht="33.75" customHeight="1" s="85">
      <c r="A8" s="114">
        <f>'Source Data'!A17</f>
        <v/>
      </c>
      <c r="B8" s="114">
        <f>'Source Data'!C17</f>
        <v/>
      </c>
      <c r="C8" s="114">
        <f>'Source Data'!D17</f>
        <v/>
      </c>
      <c r="D8" s="115">
        <f>'Source Data'!B17</f>
        <v/>
      </c>
      <c r="E8" s="114">
        <f>IF(AND('Source Data'!R17="Yes",J8="Eligible date",ISNUMBER(I8),I8&lt;=Assumptions!B17,AND(ISNUMBER(G8),G8&gt;=50),OR(OR(AND(ISNUMBER('Source Data'!H17),ISNUMBER('Source Data'!I17),'Source Data'!I17&gt;0),AND(ISNUMBER('Source Data'!O17),'Source Data'!O17&gt;0)),OR(AND(ISNUMBER('Source Data'!H17),ISNUMBER('Source Data'!J17),'Source Data'!J17&gt;0),AND(ISNUMBER('Source Data'!P17),'Source Data'!P17&gt;0)),OR(AND(ISNUMBER('Source Data'!K17),ISNUMBER('Source Data'!L17),'Source Data'!K17&gt;0),ISNUMBER('Source Data'!Q17)))),"Yes","No")</f>
        <v/>
      </c>
      <c r="F8" s="116">
        <f>IF(AND('Source Data'!R17="Yes",J8="Eligible date",ISNUMBER(I8),I8&lt;=Assumptions!C17,AND(ISNUMBER(G8),G8&gt;=50),OR(OR(AND(ISNUMBER('Source Data'!H17),ISNUMBER('Source Data'!I17),'Source Data'!I17&gt;0),AND(ISNUMBER('Source Data'!O17),'Source Data'!O17&gt;0)),OR(AND(ISNUMBER('Source Data'!H17),ISNUMBER('Source Data'!J17),'Source Data'!J17&gt;0),AND(ISNUMBER('Source Data'!P17),'Source Data'!P17&gt;0)),OR(AND(ISNUMBER('Source Data'!K17),ISNUMBER('Source Data'!L17),'Source Data'!K17&gt;0),ISNUMBER('Source Data'!Q17)))),"Yes","No")</f>
        <v/>
      </c>
      <c r="G8" s="117" t="n">
        <v>75</v>
      </c>
      <c r="H8" s="90" t="inlineStr">
        <is>
          <t>1 usable metric</t>
        </is>
      </c>
      <c r="I8" s="117" t="n">
        <v>6.68583162217659</v>
      </c>
      <c r="J8" s="90" t="inlineStr">
        <is>
          <t>Eligible date</t>
        </is>
      </c>
      <c r="K8" s="118" t="inlineStr">
        <is>
          <t>Universe-level industry fit derived from target sector digital_platforms and transaction sector technology_platform; deal-specific operating fit still requires analyst review. EV/LTM EBITDA reported in Twitter's 2022 merger proxy; month-level date</t>
        </is>
      </c>
      <c r="L8" s="119" t="inlineStr">
        <is>
          <t>Explain why this acquisition should be included or excluded.</t>
        </is>
      </c>
    </row>
    <row r="9" ht="33.75" customHeight="1" s="85">
      <c r="A9" s="114">
        <f>'Source Data'!A18</f>
        <v/>
      </c>
      <c r="B9" s="114">
        <f>'Source Data'!C18</f>
        <v/>
      </c>
      <c r="C9" s="114">
        <f>'Source Data'!D18</f>
        <v/>
      </c>
      <c r="D9" s="115">
        <f>'Source Data'!B18</f>
        <v/>
      </c>
      <c r="E9" s="114">
        <f>IF(AND('Source Data'!R18="Yes",J9="Eligible date",ISNUMBER(I9),I9&lt;=Assumptions!B17,AND(ISNUMBER(G9),G9&gt;=50),OR(OR(AND(ISNUMBER('Source Data'!H18),ISNUMBER('Source Data'!I18),'Source Data'!I18&gt;0),AND(ISNUMBER('Source Data'!O18),'Source Data'!O18&gt;0)),OR(AND(ISNUMBER('Source Data'!H18),ISNUMBER('Source Data'!J18),'Source Data'!J18&gt;0),AND(ISNUMBER('Source Data'!P18),'Source Data'!P18&gt;0)),OR(AND(ISNUMBER('Source Data'!K18),ISNUMBER('Source Data'!L18),'Source Data'!K18&gt;0),ISNUMBER('Source Data'!Q18)))),"Yes","No")</f>
        <v/>
      </c>
      <c r="F9" s="116">
        <f>IF(AND('Source Data'!R18="Yes",J9="Eligible date",ISNUMBER(I9),I9&lt;=Assumptions!C17,AND(ISNUMBER(G9),G9&gt;=50),OR(OR(AND(ISNUMBER('Source Data'!H18),ISNUMBER('Source Data'!I18),'Source Data'!I18&gt;0),AND(ISNUMBER('Source Data'!O18),'Source Data'!O18&gt;0)),OR(AND(ISNUMBER('Source Data'!H18),ISNUMBER('Source Data'!J18),'Source Data'!J18&gt;0),AND(ISNUMBER('Source Data'!P18),'Source Data'!P18&gt;0)),OR(AND(ISNUMBER('Source Data'!K18),ISNUMBER('Source Data'!L18),'Source Data'!K18&gt;0),ISNUMBER('Source Data'!Q18)))),"Yes","No")</f>
        <v/>
      </c>
      <c r="G9" s="117" t="n">
        <v>75</v>
      </c>
      <c r="H9" s="90" t="inlineStr">
        <is>
          <t>2 usable metrics</t>
        </is>
      </c>
      <c r="I9" s="117" t="n">
        <v>7.7782340862423</v>
      </c>
      <c r="J9" s="90" t="inlineStr">
        <is>
          <t>Eligible date</t>
        </is>
      </c>
      <c r="K9" s="118" t="inlineStr">
        <is>
          <t>Universe-level industry fit derived from target sector digital_platforms and transaction sector technology_platform; deal-specific operating fit still requires analyst review. Transaction value and FY2019 estimated operating metrics disclosed in announcement and merger proxy; EBITDA is pre-SBC; raw amounts are USD</t>
        </is>
      </c>
      <c r="L9" s="119" t="inlineStr">
        <is>
          <t>Explain why this acquisition should be included or excluded.</t>
        </is>
      </c>
    </row>
    <row r="10" ht="33.75" customHeight="1" s="85">
      <c r="A10" s="114">
        <f>'Source Data'!A19</f>
        <v/>
      </c>
      <c r="B10" s="114">
        <f>'Source Data'!C19</f>
        <v/>
      </c>
      <c r="C10" s="114">
        <f>'Source Data'!D19</f>
        <v/>
      </c>
      <c r="D10" s="115">
        <f>'Source Data'!B19</f>
        <v/>
      </c>
      <c r="E10" s="114">
        <f>IF(AND('Source Data'!R19="Yes",J10="Eligible date",ISNUMBER(I10),I10&lt;=Assumptions!B17,AND(ISNUMBER(G10),G10&gt;=50),OR(OR(AND(ISNUMBER('Source Data'!H19),ISNUMBER('Source Data'!I19),'Source Data'!I19&gt;0),AND(ISNUMBER('Source Data'!O19),'Source Data'!O19&gt;0)),OR(AND(ISNUMBER('Source Data'!H19),ISNUMBER('Source Data'!J19),'Source Data'!J19&gt;0),AND(ISNUMBER('Source Data'!P19),'Source Data'!P19&gt;0)),OR(AND(ISNUMBER('Source Data'!K19),ISNUMBER('Source Data'!L19),'Source Data'!K19&gt;0),ISNUMBER('Source Data'!Q19)))),"Yes","No")</f>
        <v/>
      </c>
      <c r="F10" s="116">
        <f>IF(AND('Source Data'!R19="Yes",J10="Eligible date",ISNUMBER(I10),I10&lt;=Assumptions!C17,AND(ISNUMBER(G10),G10&gt;=50),OR(OR(AND(ISNUMBER('Source Data'!H19),ISNUMBER('Source Data'!I19),'Source Data'!I19&gt;0),AND(ISNUMBER('Source Data'!O19),'Source Data'!O19&gt;0)),OR(AND(ISNUMBER('Source Data'!H19),ISNUMBER('Source Data'!J19),'Source Data'!J19&gt;0),AND(ISNUMBER('Source Data'!P19),'Source Data'!P19&gt;0)),OR(AND(ISNUMBER('Source Data'!K19),ISNUMBER('Source Data'!L19),'Source Data'!K19&gt;0),ISNUMBER('Source Data'!Q19)))),"Yes","No")</f>
        <v/>
      </c>
      <c r="G10" s="117" t="n">
        <v>75</v>
      </c>
      <c r="H10" s="90" t="inlineStr">
        <is>
          <t>1 usable metric</t>
        </is>
      </c>
      <c r="I10" s="117" t="n">
        <v>8.271047227926079</v>
      </c>
      <c r="J10" s="90" t="inlineStr">
        <is>
          <t>Eligible date</t>
        </is>
      </c>
      <c r="K10" s="118" t="inlineStr">
        <is>
          <t>Universe-level industry fit derived from target sector digital_platforms and transaction sector technology_platform; deal-specific operating fit still requires analyst review. EV/LTM EBITDA reported in Twitter's 2022 merger proxy; month-level date</t>
        </is>
      </c>
      <c r="L10" s="119" t="inlineStr">
        <is>
          <t>Explain why this acquisition should be included or excluded.</t>
        </is>
      </c>
    </row>
    <row r="11" ht="33.75" customHeight="1" s="85">
      <c r="A11" s="114">
        <f>'Source Data'!A20</f>
        <v/>
      </c>
      <c r="B11" s="114">
        <f>'Source Data'!C20</f>
        <v/>
      </c>
      <c r="C11" s="114">
        <f>'Source Data'!D20</f>
        <v/>
      </c>
      <c r="D11" s="115">
        <f>'Source Data'!B20</f>
        <v/>
      </c>
      <c r="E11" s="114">
        <f>IF(AND('Source Data'!R20="Yes",J11="Eligible date",ISNUMBER(I11),I11&lt;=Assumptions!B17,AND(ISNUMBER(G11),G11&gt;=50),OR(OR(AND(ISNUMBER('Source Data'!H20),ISNUMBER('Source Data'!I20),'Source Data'!I20&gt;0),AND(ISNUMBER('Source Data'!O20),'Source Data'!O20&gt;0)),OR(AND(ISNUMBER('Source Data'!H20),ISNUMBER('Source Data'!J20),'Source Data'!J20&gt;0),AND(ISNUMBER('Source Data'!P20),'Source Data'!P20&gt;0)),OR(AND(ISNUMBER('Source Data'!K20),ISNUMBER('Source Data'!L20),'Source Data'!K20&gt;0),ISNUMBER('Source Data'!Q20)))),"Yes","No")</f>
        <v/>
      </c>
      <c r="F11" s="116">
        <f>IF(AND('Source Data'!R20="Yes",J11="Eligible date",ISNUMBER(I11),I11&lt;=Assumptions!C17,AND(ISNUMBER(G11),G11&gt;=50),OR(OR(AND(ISNUMBER('Source Data'!H20),ISNUMBER('Source Data'!I20),'Source Data'!I20&gt;0),AND(ISNUMBER('Source Data'!O20),'Source Data'!O20&gt;0)),OR(AND(ISNUMBER('Source Data'!H20),ISNUMBER('Source Data'!J20),'Source Data'!J20&gt;0),AND(ISNUMBER('Source Data'!P20),'Source Data'!P20&gt;0)),OR(AND(ISNUMBER('Source Data'!K20),ISNUMBER('Source Data'!L20),'Source Data'!K20&gt;0),ISNUMBER('Source Data'!Q20)))),"Yes","No")</f>
        <v/>
      </c>
      <c r="G11" s="117" t="n">
        <v>75</v>
      </c>
      <c r="H11" s="90" t="inlineStr">
        <is>
          <t>2 usable metrics</t>
        </is>
      </c>
      <c r="I11" s="117" t="n">
        <v>10.1519507186858</v>
      </c>
      <c r="J11" s="90" t="inlineStr">
        <is>
          <t>Eligible date</t>
        </is>
      </c>
      <c r="K11" s="118" t="inlineStr">
        <is>
          <t>Universe-level industry fit derived from target sector digital_platforms and transaction sector technology_platform; deal-specific operating fit still requires analyst review. Transaction value and FY2016 estimated operating metrics disclosed in announcement and merger proxy; raw amounts are USD</t>
        </is>
      </c>
      <c r="L11" s="119" t="inlineStr">
        <is>
          <t>Explain why this acquisition should be included or excluded.</t>
        </is>
      </c>
    </row>
    <row r="12" ht="33.75" customHeight="1" s="85">
      <c r="A12" s="114">
        <f>'Source Data'!A21</f>
        <v/>
      </c>
      <c r="B12" s="114">
        <f>'Source Data'!C21</f>
        <v/>
      </c>
      <c r="C12" s="114">
        <f>'Source Data'!D21</f>
        <v/>
      </c>
      <c r="D12" s="115">
        <f>'Source Data'!B21</f>
        <v/>
      </c>
      <c r="E12" s="114">
        <f>IF(AND('Source Data'!R21="Yes",J12="Eligible date",ISNUMBER(I12),I12&lt;=Assumptions!B17,AND(ISNUMBER(G12),G12&gt;=50),OR(OR(AND(ISNUMBER('Source Data'!H21),ISNUMBER('Source Data'!I21),'Source Data'!I21&gt;0),AND(ISNUMBER('Source Data'!O21),'Source Data'!O21&gt;0)),OR(AND(ISNUMBER('Source Data'!H21),ISNUMBER('Source Data'!J21),'Source Data'!J21&gt;0),AND(ISNUMBER('Source Data'!P21),'Source Data'!P21&gt;0)),OR(AND(ISNUMBER('Source Data'!K21),ISNUMBER('Source Data'!L21),'Source Data'!K21&gt;0),ISNUMBER('Source Data'!Q21)))),"Yes","No")</f>
        <v/>
      </c>
      <c r="F12" s="116">
        <f>IF(AND('Source Data'!R21="Yes",J12="Eligible date",ISNUMBER(I12),I12&lt;=Assumptions!C17,AND(ISNUMBER(G12),G12&gt;=50),OR(OR(AND(ISNUMBER('Source Data'!H21),ISNUMBER('Source Data'!I21),'Source Data'!I21&gt;0),AND(ISNUMBER('Source Data'!O21),'Source Data'!O21&gt;0)),OR(AND(ISNUMBER('Source Data'!H21),ISNUMBER('Source Data'!J21),'Source Data'!J21&gt;0),AND(ISNUMBER('Source Data'!P21),'Source Data'!P21&gt;0)),OR(AND(ISNUMBER('Source Data'!K21),ISNUMBER('Source Data'!L21),'Source Data'!K21&gt;0),ISNUMBER('Source Data'!Q21)))),"Yes","No")</f>
        <v/>
      </c>
      <c r="G12" s="117" t="n">
        <v>75</v>
      </c>
      <c r="H12" s="90" t="inlineStr">
        <is>
          <t>1 usable metric</t>
        </is>
      </c>
      <c r="I12" s="117" t="n">
        <v>10.7679671457906</v>
      </c>
      <c r="J12" s="90" t="inlineStr">
        <is>
          <t>Eligible date</t>
        </is>
      </c>
      <c r="K12" s="118" t="inlineStr">
        <is>
          <t>Universe-level industry fit derived from target sector digital_platforms and transaction sector technology_platform; deal-specific operating fit still requires analyst review. EV/LTM EBITDA reported in Twitter's 2022 merger proxy; month-level date</t>
        </is>
      </c>
      <c r="L12" s="119" t="inlineStr">
        <is>
          <t>Explain why this acquisition should be included or excluded.</t>
        </is>
      </c>
    </row>
    <row r="13" ht="33.75" customHeight="1" s="85">
      <c r="A13" s="114">
        <f>'Source Data'!A22</f>
        <v/>
      </c>
      <c r="B13" s="114">
        <f>'Source Data'!C22</f>
        <v/>
      </c>
      <c r="C13" s="114">
        <f>'Source Data'!D22</f>
        <v/>
      </c>
      <c r="D13" s="115">
        <f>'Source Data'!B22</f>
        <v/>
      </c>
      <c r="E13" s="114">
        <f>IF(AND('Source Data'!R22="Yes",J13="Eligible date",ISNUMBER(I13),I13&lt;=Assumptions!B17,AND(ISNUMBER(G13),G13&gt;=50),OR(OR(AND(ISNUMBER('Source Data'!H22),ISNUMBER('Source Data'!I22),'Source Data'!I22&gt;0),AND(ISNUMBER('Source Data'!O22),'Source Data'!O22&gt;0)),OR(AND(ISNUMBER('Source Data'!H22),ISNUMBER('Source Data'!J22),'Source Data'!J22&gt;0),AND(ISNUMBER('Source Data'!P22),'Source Data'!P22&gt;0)),OR(AND(ISNUMBER('Source Data'!K22),ISNUMBER('Source Data'!L22),'Source Data'!K22&gt;0),ISNUMBER('Source Data'!Q22)))),"Yes","No")</f>
        <v/>
      </c>
      <c r="F13" s="116">
        <f>IF(AND('Source Data'!R22="Yes",J13="Eligible date",ISNUMBER(I13),I13&lt;=Assumptions!C17,AND(ISNUMBER(G13),G13&gt;=50),OR(OR(AND(ISNUMBER('Source Data'!H22),ISNUMBER('Source Data'!I22),'Source Data'!I22&gt;0),AND(ISNUMBER('Source Data'!O22),'Source Data'!O22&gt;0)),OR(AND(ISNUMBER('Source Data'!H22),ISNUMBER('Source Data'!J22),'Source Data'!J22&gt;0),AND(ISNUMBER('Source Data'!P22),'Source Data'!P22&gt;0)),OR(AND(ISNUMBER('Source Data'!K22),ISNUMBER('Source Data'!L22),'Source Data'!K22&gt;0),ISNUMBER('Source Data'!Q22)))),"Yes","No")</f>
        <v/>
      </c>
      <c r="G13" s="117" t="n">
        <v>75</v>
      </c>
      <c r="H13" s="90" t="inlineStr">
        <is>
          <t>1 usable metric</t>
        </is>
      </c>
      <c r="I13" s="117" t="n">
        <v>11.0198494182067</v>
      </c>
      <c r="J13" s="90" t="inlineStr">
        <is>
          <t>Eligible date</t>
        </is>
      </c>
      <c r="K13" s="118" t="inlineStr">
        <is>
          <t>Universe-level industry fit derived from target sector digital_platforms and transaction sector technology_platform; deal-specific operating fit still requires analyst review. EV/LTM EBITDA reported in Twitter's 2022 merger proxy; month-level date</t>
        </is>
      </c>
      <c r="L13" s="119" t="inlineStr">
        <is>
          <t>Explain why this acquisition should be included or excluded.</t>
        </is>
      </c>
    </row>
    <row r="14" ht="33.75" customHeight="1" s="85">
      <c r="A14" s="114">
        <f>'Source Data'!A23</f>
        <v/>
      </c>
      <c r="B14" s="114">
        <f>'Source Data'!C23</f>
        <v/>
      </c>
      <c r="C14" s="114">
        <f>'Source Data'!D23</f>
        <v/>
      </c>
      <c r="D14" s="115">
        <f>'Source Data'!B23</f>
        <v/>
      </c>
      <c r="E14" s="114">
        <f>IF(AND('Source Data'!R23="Yes",J14="Eligible date",ISNUMBER(I14),I14&lt;=Assumptions!B17,AND(ISNUMBER(G14),G14&gt;=50),OR(OR(AND(ISNUMBER('Source Data'!H23),ISNUMBER('Source Data'!I23),'Source Data'!I23&gt;0),AND(ISNUMBER('Source Data'!O23),'Source Data'!O23&gt;0)),OR(AND(ISNUMBER('Source Data'!H23),ISNUMBER('Source Data'!J23),'Source Data'!J23&gt;0),AND(ISNUMBER('Source Data'!P23),'Source Data'!P23&gt;0)),OR(AND(ISNUMBER('Source Data'!K23),ISNUMBER('Source Data'!L23),'Source Data'!K23&gt;0),ISNUMBER('Source Data'!Q23)))),"Yes","No")</f>
        <v/>
      </c>
      <c r="F14" s="116">
        <f>IF(AND('Source Data'!R23="Yes",J14="Eligible date",ISNUMBER(I14),I14&lt;=Assumptions!C17,AND(ISNUMBER(G14),G14&gt;=50),OR(OR(AND(ISNUMBER('Source Data'!H23),ISNUMBER('Source Data'!I23),'Source Data'!I23&gt;0),AND(ISNUMBER('Source Data'!O23),'Source Data'!O23&gt;0)),OR(AND(ISNUMBER('Source Data'!H23),ISNUMBER('Source Data'!J23),'Source Data'!J23&gt;0),AND(ISNUMBER('Source Data'!P23),'Source Data'!P23&gt;0)),OR(AND(ISNUMBER('Source Data'!K23),ISNUMBER('Source Data'!L23),'Source Data'!K23&gt;0),ISNUMBER('Source Data'!Q23)))),"Yes","No")</f>
        <v/>
      </c>
      <c r="G14" s="117" t="n">
        <v>75</v>
      </c>
      <c r="H14" s="90" t="inlineStr">
        <is>
          <t>2 usable metrics</t>
        </is>
      </c>
      <c r="I14" s="117" t="n">
        <v>11.8576317590691</v>
      </c>
      <c r="J14" s="90" t="inlineStr">
        <is>
          <t>Eligible date</t>
        </is>
      </c>
      <c r="K14" s="118" t="inlineStr">
        <is>
          <t>Universe-level industry fit derived from target sector digital_platforms and transaction sector technology_platform; deal-specific operating fit still requires analyst review. Enterprise value and FY2014 estimated operating metrics disclosed in merger proxy; raw amounts are USD</t>
        </is>
      </c>
      <c r="L14" s="119" t="inlineStr">
        <is>
          <t>Explain why this acquisition should be included or excluded.</t>
        </is>
      </c>
    </row>
    <row r="15" ht="33.75" customHeight="1" s="85">
      <c r="A15" s="114">
        <f>'Source Data'!A24</f>
        <v/>
      </c>
      <c r="B15" s="114">
        <f>'Source Data'!C24</f>
        <v/>
      </c>
      <c r="C15" s="114">
        <f>'Source Data'!D24</f>
        <v/>
      </c>
      <c r="D15" s="115">
        <f>'Source Data'!B24</f>
        <v/>
      </c>
      <c r="E15" s="114">
        <f>IF(AND('Source Data'!R24="Yes",J15="Eligible date",ISNUMBER(I15),I15&lt;=Assumptions!B17,AND(ISNUMBER(G15),G15&gt;=50),OR(OR(AND(ISNUMBER('Source Data'!H24),ISNUMBER('Source Data'!I24),'Source Data'!I24&gt;0),AND(ISNUMBER('Source Data'!O24),'Source Data'!O24&gt;0)),OR(AND(ISNUMBER('Source Data'!H24),ISNUMBER('Source Data'!J24),'Source Data'!J24&gt;0),AND(ISNUMBER('Source Data'!P24),'Source Data'!P24&gt;0)),OR(AND(ISNUMBER('Source Data'!K24),ISNUMBER('Source Data'!L24),'Source Data'!K24&gt;0),ISNUMBER('Source Data'!Q24)))),"Yes","No")</f>
        <v/>
      </c>
      <c r="F15" s="116">
        <f>IF(AND('Source Data'!R24="Yes",J15="Eligible date",ISNUMBER(I15),I15&lt;=Assumptions!C17,AND(ISNUMBER(G15),G15&gt;=50),OR(OR(AND(ISNUMBER('Source Data'!H24),ISNUMBER('Source Data'!I24),'Source Data'!I24&gt;0),AND(ISNUMBER('Source Data'!O24),'Source Data'!O24&gt;0)),OR(AND(ISNUMBER('Source Data'!H24),ISNUMBER('Source Data'!J24),'Source Data'!J24&gt;0),AND(ISNUMBER('Source Data'!P24),'Source Data'!P24&gt;0)),OR(AND(ISNUMBER('Source Data'!K24),ISNUMBER('Source Data'!L24),'Source Data'!K24&gt;0),ISNUMBER('Source Data'!Q24)))),"Yes","No")</f>
        <v/>
      </c>
      <c r="G15" s="117" t="n">
        <v>75</v>
      </c>
      <c r="H15" s="90" t="inlineStr">
        <is>
          <t>1 usable metric</t>
        </is>
      </c>
      <c r="I15" s="117" t="n">
        <v>12.186173853525</v>
      </c>
      <c r="J15" s="90" t="inlineStr">
        <is>
          <t>Eligible date</t>
        </is>
      </c>
      <c r="K15" s="118" t="inlineStr">
        <is>
          <t>Universe-level industry fit derived from target sector digital_platforms and transaction sector technology_platform; deal-specific operating fit still requires analyst review. EV/LTM EBITDA reported in Twitter's 2022 merger proxy; month-level date</t>
        </is>
      </c>
      <c r="L15" s="119" t="inlineStr">
        <is>
          <t>Explain why this acquisition should be included or excluded.</t>
        </is>
      </c>
    </row>
    <row r="16" ht="33.75" customHeight="1" s="85">
      <c r="A16" s="114">
        <f>'Source Data'!A25</f>
        <v/>
      </c>
      <c r="B16" s="114">
        <f>'Source Data'!C25</f>
        <v/>
      </c>
      <c r="C16" s="114">
        <f>'Source Data'!D25</f>
        <v/>
      </c>
      <c r="D16" s="115">
        <f>'Source Data'!B25</f>
        <v/>
      </c>
      <c r="E16" s="114">
        <f>IF(AND('Source Data'!R25="Yes",J16="Eligible date",ISNUMBER(I16),I16&lt;=Assumptions!B17,AND(ISNUMBER(G16),G16&gt;=50),OR(OR(AND(ISNUMBER('Source Data'!H25),ISNUMBER('Source Data'!I25),'Source Data'!I25&gt;0),AND(ISNUMBER('Source Data'!O25),'Source Data'!O25&gt;0)),OR(AND(ISNUMBER('Source Data'!H25),ISNUMBER('Source Data'!J25),'Source Data'!J25&gt;0),AND(ISNUMBER('Source Data'!P25),'Source Data'!P25&gt;0)),OR(AND(ISNUMBER('Source Data'!K25),ISNUMBER('Source Data'!L25),'Source Data'!K25&gt;0),ISNUMBER('Source Data'!Q25)))),"Yes","No")</f>
        <v/>
      </c>
      <c r="F16" s="116">
        <f>IF(AND('Source Data'!R25="Yes",J16="Eligible date",ISNUMBER(I16),I16&lt;=Assumptions!C17,AND(ISNUMBER(G16),G16&gt;=50),OR(OR(AND(ISNUMBER('Source Data'!H25),ISNUMBER('Source Data'!I25),'Source Data'!I25&gt;0),AND(ISNUMBER('Source Data'!O25),'Source Data'!O25&gt;0)),OR(AND(ISNUMBER('Source Data'!H25),ISNUMBER('Source Data'!J25),'Source Data'!J25&gt;0),AND(ISNUMBER('Source Data'!P25),'Source Data'!P25&gt;0)),OR(AND(ISNUMBER('Source Data'!K25),ISNUMBER('Source Data'!L25),'Source Data'!K25&gt;0),ISNUMBER('Source Data'!Q25)))),"Yes","No")</f>
        <v/>
      </c>
      <c r="G16" s="117" t="n">
        <v>75</v>
      </c>
      <c r="H16" s="90" t="inlineStr">
        <is>
          <t>1 usable metric</t>
        </is>
      </c>
      <c r="I16" s="117" t="n">
        <v>13.7659137577002</v>
      </c>
      <c r="J16" s="90" t="inlineStr">
        <is>
          <t>Eligible date</t>
        </is>
      </c>
      <c r="K16" s="118" t="inlineStr">
        <is>
          <t>Universe-level industry fit derived from target sector digital_platforms and transaction sector technology_platform; deal-specific operating fit still requires analyst review. EV/LTM EBITDA reported in Twitter's 2022 merger proxy; month-level date</t>
        </is>
      </c>
      <c r="L16" s="119" t="inlineStr">
        <is>
          <t>Explain why this acquisition should be included or excluded.</t>
        </is>
      </c>
    </row>
    <row r="17" ht="33.75" customHeight="1" s="85">
      <c r="A17" s="114">
        <f>'Source Data'!A26</f>
        <v/>
      </c>
      <c r="B17" s="114">
        <f>'Source Data'!C26</f>
        <v/>
      </c>
      <c r="C17" s="114">
        <f>'Source Data'!D26</f>
        <v/>
      </c>
      <c r="D17" s="115">
        <f>'Source Data'!B26</f>
        <v/>
      </c>
      <c r="E17" s="114">
        <f>IF(AND('Source Data'!R26="Yes",J17="Eligible date",ISNUMBER(I17),I17&lt;=Assumptions!B17,AND(ISNUMBER(G17),G17&gt;=50),OR(OR(AND(ISNUMBER('Source Data'!H26),ISNUMBER('Source Data'!I26),'Source Data'!I26&gt;0),AND(ISNUMBER('Source Data'!O26),'Source Data'!O26&gt;0)),OR(AND(ISNUMBER('Source Data'!H26),ISNUMBER('Source Data'!J26),'Source Data'!J26&gt;0),AND(ISNUMBER('Source Data'!P26),'Source Data'!P26&gt;0)),OR(AND(ISNUMBER('Source Data'!K26),ISNUMBER('Source Data'!L26),'Source Data'!K26&gt;0),ISNUMBER('Source Data'!Q26)))),"Yes","No")</f>
        <v/>
      </c>
      <c r="F17" s="116">
        <f>IF(AND('Source Data'!R26="Yes",J17="Eligible date",ISNUMBER(I17),I17&lt;=Assumptions!C17,AND(ISNUMBER(G17),G17&gt;=50),OR(OR(AND(ISNUMBER('Source Data'!H26),ISNUMBER('Source Data'!I26),'Source Data'!I26&gt;0),AND(ISNUMBER('Source Data'!O26),'Source Data'!O26&gt;0)),OR(AND(ISNUMBER('Source Data'!H26),ISNUMBER('Source Data'!J26),'Source Data'!J26&gt;0),AND(ISNUMBER('Source Data'!P26),'Source Data'!P26&gt;0)),OR(AND(ISNUMBER('Source Data'!K26),ISNUMBER('Source Data'!L26),'Source Data'!K26&gt;0),ISNUMBER('Source Data'!Q26)))),"Yes","No")</f>
        <v/>
      </c>
      <c r="G17" s="117" t="n">
        <v>75</v>
      </c>
      <c r="H17" s="90" t="inlineStr">
        <is>
          <t>1 usable metric</t>
        </is>
      </c>
      <c r="I17" s="117" t="n">
        <v>15.2717316906229</v>
      </c>
      <c r="J17" s="90" t="inlineStr">
        <is>
          <t>Eligible date</t>
        </is>
      </c>
      <c r="K17" s="118" t="inlineStr">
        <is>
          <t>Universe-level industry fit derived from target sector digital_platforms and transaction sector technology_platform; deal-specific operating fit still requires analyst review. EV/LTM EBITDA reported in Twitter's 2022 merger proxy; month-level date</t>
        </is>
      </c>
      <c r="L17" s="119" t="inlineStr">
        <is>
          <t>Explain why this acquisition should be included or excluded.</t>
        </is>
      </c>
    </row>
  </sheetData>
  <autoFilter ref="A5:L17"/>
  <mergeCells count="2">
    <mergeCell ref="A2:L2"/>
    <mergeCell ref="A1:L1"/>
  </mergeCells>
  <dataValidations count="1">
    <dataValidation sqref="F6:F17" showDropDown="0" showInputMessage="0" showErrorMessage="0" allowBlank="0" type="list" errorStyle="stop" operator="between">
      <formula1>"Yes,No"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"/>
  <pageSetup orientation="landscape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 filterMode="0">
    <tabColor rgb="FF70AD47"/>
    <outlinePr summaryBelow="1" summaryRight="1"/>
    <pageSetUpPr fitToPage="1"/>
  </sheetPr>
  <dimension ref="A1:W26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14" customWidth="1" style="84" min="1" max="1"/>
    <col width="16" customWidth="1" style="84" min="2" max="2"/>
    <col width="25" customWidth="1" style="84" min="3" max="4"/>
    <col width="16" customWidth="1" style="84" min="5" max="13"/>
    <col width="52" customWidth="1" style="84" min="14" max="14"/>
    <col width="18" customWidth="1" style="84" min="15" max="16"/>
    <col width="16" customWidth="1" style="84" min="17" max="17"/>
    <col width="14" customWidth="1" style="84" min="18" max="18"/>
    <col width="18" customWidth="1" style="84" min="19" max="22"/>
    <col width="48" customWidth="1" style="84" min="23" max="23"/>
  </cols>
  <sheetData>
    <row r="1" ht="27" customHeight="1" s="85">
      <c r="A1" s="86" t="inlineStr">
        <is>
          <t>Step II. Locate the Necessary Deal-Related and Financial Information</t>
        </is>
      </c>
    </row>
    <row r="2" ht="25.5" customHeight="1" s="85">
      <c r="A2" s="87" t="inlineStr">
        <is>
          <t>AI Valuation appears in Columns A–R. Student Template overrides in blue Columns S–V are optional and affect only the student transaction spread.</t>
        </is>
      </c>
    </row>
    <row r="3"/>
    <row r="4" ht="18" customHeight="1" s="85">
      <c r="A4" s="88" t="inlineStr">
        <is>
          <t>Target company source values</t>
        </is>
      </c>
    </row>
    <row r="5" ht="28.5" customHeight="1" s="85">
      <c r="A5" s="97" t="inlineStr">
        <is>
          <t>Item</t>
        </is>
      </c>
      <c r="B5" s="97" t="inlineStr">
        <is>
          <t>Value</t>
        </is>
      </c>
      <c r="C5" s="97" t="inlineStr">
        <is>
          <t>Units</t>
        </is>
      </c>
      <c r="D5" s="97" t="inlineStr">
        <is>
          <t>Period / As of</t>
        </is>
      </c>
      <c r="E5" s="97" t="inlineStr">
        <is>
          <t>Source ID</t>
        </is>
      </c>
      <c r="F5" s="97" t="inlineStr">
        <is>
          <t>Definition / Note</t>
        </is>
      </c>
      <c r="G5" s="97" t="inlineStr">
        <is>
          <t>Quality</t>
        </is>
      </c>
    </row>
    <row r="6" ht="15" customHeight="1" s="85">
      <c r="A6" s="113" t="inlineStr">
        <is>
          <t>Revenue</t>
        </is>
      </c>
      <c r="B6" s="120" t="n">
        <v>402836</v>
      </c>
      <c r="C6" s="113" t="inlineStr">
        <is>
          <t>USD mm</t>
        </is>
      </c>
      <c r="D6" s="121" t="n">
        <v>46022</v>
      </c>
      <c r="E6" s="113" t="inlineStr">
        <is>
          <t>SRC-TARGET</t>
        </is>
      </c>
      <c r="F6" s="113" t="inlineStr">
        <is>
          <t>Trailing or latest fiscal revenue</t>
        </is>
      </c>
      <c r="G6" s="113" t="inlineStr">
        <is>
          <t>Available</t>
        </is>
      </c>
    </row>
    <row r="7" ht="15" customHeight="1" s="85">
      <c r="A7" s="113" t="inlineStr">
        <is>
          <t>EBITDA</t>
        </is>
      </c>
      <c r="B7" s="120" t="n">
        <v>150175</v>
      </c>
      <c r="C7" s="113" t="inlineStr">
        <is>
          <t>USD mm</t>
        </is>
      </c>
      <c r="D7" s="121" t="n">
        <v>46022</v>
      </c>
      <c r="E7" s="113" t="inlineStr">
        <is>
          <t>SRC-TARGET</t>
        </is>
      </c>
      <c r="F7" s="113" t="inlineStr">
        <is>
          <t>Reported or consistently derived EBITDA</t>
        </is>
      </c>
      <c r="G7" s="113" t="inlineStr">
        <is>
          <t>Available</t>
        </is>
      </c>
    </row>
    <row r="8" ht="15" customHeight="1" s="85">
      <c r="A8" s="113" t="inlineStr">
        <is>
          <t>Net Debt + Other EV Claims</t>
        </is>
      </c>
      <c r="B8" s="120" t="n">
        <v>-142310</v>
      </c>
      <c r="C8" s="113" t="inlineStr">
        <is>
          <t>USD mm</t>
        </is>
      </c>
      <c r="D8" s="121" t="n">
        <v>46242</v>
      </c>
      <c r="E8" s="113" t="inlineStr">
        <is>
          <t>SRC-TARGET</t>
        </is>
      </c>
      <c r="F8" s="113" t="inlineStr">
        <is>
          <t>Base net debt (debt less cash/investments) plus preferred stock and minority interest</t>
        </is>
      </c>
      <c r="G8" s="113" t="inlineStr">
        <is>
          <t>Available</t>
        </is>
      </c>
    </row>
    <row r="9" ht="15" customHeight="1" s="85">
      <c r="A9" s="113" t="inlineStr">
        <is>
          <t>Diluted Shares</t>
        </is>
      </c>
      <c r="B9" s="122" t="n">
        <v>12230</v>
      </c>
      <c r="C9" s="113" t="inlineStr">
        <is>
          <t>mm shares</t>
        </is>
      </c>
      <c r="D9" s="121" t="n">
        <v>46242</v>
      </c>
      <c r="E9" s="113" t="inlineStr">
        <is>
          <t>SRC-TARGET</t>
        </is>
      </c>
      <c r="F9" s="113" t="inlineStr">
        <is>
          <t>Diluted shares outstanding</t>
        </is>
      </c>
      <c r="G9" s="113" t="inlineStr">
        <is>
          <t>Available</t>
        </is>
      </c>
    </row>
    <row r="10" ht="15" customHeight="1" s="85">
      <c r="A10" s="113" t="inlineStr">
        <is>
          <t>Unaffected Share Price</t>
        </is>
      </c>
      <c r="B10" s="123" t="n">
        <v>354.3</v>
      </c>
      <c r="C10" s="113" t="inlineStr">
        <is>
          <t>USD/share</t>
        </is>
      </c>
      <c r="D10" s="121" t="n">
        <v>46242</v>
      </c>
      <c r="E10" s="113" t="inlineStr">
        <is>
          <t>SRC-TARGET</t>
        </is>
      </c>
      <c r="F10" s="113" t="inlineStr">
        <is>
          <t>Reference price before any subject transaction</t>
        </is>
      </c>
      <c r="G10" s="113" t="inlineStr">
        <is>
          <t>Available</t>
        </is>
      </c>
    </row>
    <row r="11"/>
    <row r="12"/>
    <row r="13" ht="18" customHeight="1" s="85">
      <c r="A13" s="88" t="inlineStr">
        <is>
          <t>AI Valuation (A–R) | Student Template Overrides (S–W)</t>
        </is>
      </c>
    </row>
    <row r="14" ht="28.5" customHeight="1" s="85">
      <c r="A14" s="97" t="inlineStr">
        <is>
          <t>Deal ID</t>
        </is>
      </c>
      <c r="B14" s="97" t="inlineStr">
        <is>
          <t>Announcement Date</t>
        </is>
      </c>
      <c r="C14" s="97" t="inlineStr">
        <is>
          <t>Target</t>
        </is>
      </c>
      <c r="D14" s="97" t="inlineStr">
        <is>
          <t>Acquirer</t>
        </is>
      </c>
      <c r="E14" s="97" t="inlineStr">
        <is>
          <t>Equity Purchase Price</t>
        </is>
      </c>
      <c r="F14" s="97" t="inlineStr">
        <is>
          <t>Debt Assumed</t>
        </is>
      </c>
      <c r="G14" s="97" t="inlineStr">
        <is>
          <t>Cash Acquired</t>
        </is>
      </c>
      <c r="H14" s="97" t="inlineStr">
        <is>
          <t>Enterprise Value</t>
        </is>
      </c>
      <c r="I14" s="97" t="inlineStr">
        <is>
          <t>Revenue / Financial Basis</t>
        </is>
      </c>
      <c r="J14" s="97" t="inlineStr">
        <is>
          <t>EBITDA / Financial Basis</t>
        </is>
      </c>
      <c r="K14" s="97" t="inlineStr">
        <is>
          <t>Unaffected Price</t>
        </is>
      </c>
      <c r="L14" s="97" t="inlineStr">
        <is>
          <t>Offer Price</t>
        </is>
      </c>
      <c r="M14" s="97" t="inlineStr">
        <is>
          <t>Source ID</t>
        </is>
      </c>
      <c r="N14" s="97" t="inlineStr">
        <is>
          <t>Notes / Financial Period and Basis</t>
        </is>
      </c>
      <c r="O14" s="97" t="inlineStr">
        <is>
          <t>Provided EV / Revenue</t>
        </is>
      </c>
      <c r="P14" s="97" t="inlineStr">
        <is>
          <t>Provided EV / EBITDA</t>
        </is>
      </c>
      <c r="Q14" s="97" t="inlineStr">
        <is>
          <t>Provided Premium</t>
        </is>
      </c>
      <c r="R14" s="97" t="inlineStr">
        <is>
          <t>Source Include</t>
        </is>
      </c>
      <c r="S14" s="97" t="inlineStr">
        <is>
          <t>Student EV Override</t>
        </is>
      </c>
      <c r="T14" s="97" t="inlineStr">
        <is>
          <t>Student Revenue Override</t>
        </is>
      </c>
      <c r="U14" s="97" t="inlineStr">
        <is>
          <t>Student EBITDA Override</t>
        </is>
      </c>
      <c r="V14" s="97" t="inlineStr">
        <is>
          <t>Student Premium Override</t>
        </is>
      </c>
      <c r="W14" s="97" t="inlineStr">
        <is>
          <t>Student Source / Rationale</t>
        </is>
      </c>
    </row>
    <row r="15" ht="15" customHeight="1" s="85">
      <c r="A15" s="113" t="inlineStr">
        <is>
          <t>DEAL-01</t>
        </is>
      </c>
      <c r="B15" s="113" t="inlineStr">
        <is>
          <t>2021-02-01</t>
        </is>
      </c>
      <c r="C15" s="113" t="inlineStr">
        <is>
          <t>SpotX, Inc.</t>
        </is>
      </c>
      <c r="D15" s="113" t="inlineStr">
        <is>
          <t>Magnite, Inc.</t>
        </is>
      </c>
      <c r="E15" s="124" t="inlineStr">
        <is>
          <t>N/M</t>
        </is>
      </c>
      <c r="F15" s="124" t="inlineStr">
        <is>
          <t>N/M</t>
        </is>
      </c>
      <c r="G15" s="124" t="inlineStr">
        <is>
          <t>N/M</t>
        </is>
      </c>
      <c r="H15" s="124" t="inlineStr">
        <is>
          <t>N/M</t>
        </is>
      </c>
      <c r="I15" s="124" t="inlineStr">
        <is>
          <t>N/M</t>
        </is>
      </c>
      <c r="J15" s="124" t="inlineStr">
        <is>
          <t>N/M</t>
        </is>
      </c>
      <c r="K15" s="125" t="inlineStr">
        <is>
          <t>N/M</t>
        </is>
      </c>
      <c r="L15" s="125" t="inlineStr">
        <is>
          <t>N/M</t>
        </is>
      </c>
      <c r="M15" s="113" t="inlineStr">
        <is>
          <t>SRC-DEAL-01</t>
        </is>
      </c>
      <c r="N15" s="113" t="inlineStr">
        <is>
          <t>EV/LTM EBITDA reported in Twitter's 2022 merger proxy; month-level date</t>
        </is>
      </c>
      <c r="O15" s="126" t="inlineStr">
        <is>
          <t>N/M</t>
        </is>
      </c>
      <c r="P15" s="127" t="n">
        <v>33.4</v>
      </c>
      <c r="Q15" s="128" t="inlineStr">
        <is>
          <t>N/M</t>
        </is>
      </c>
      <c r="R15" s="113" t="inlineStr">
        <is>
          <t>Yes</t>
        </is>
      </c>
      <c r="S15" s="129" t="inlineStr">
        <is>
          <t>N/M</t>
        </is>
      </c>
      <c r="T15" s="129" t="inlineStr">
        <is>
          <t>N/M</t>
        </is>
      </c>
      <c r="U15" s="129" t="inlineStr">
        <is>
          <t>N/M</t>
        </is>
      </c>
      <c r="V15" s="130" t="inlineStr">
        <is>
          <t>N/M</t>
        </is>
      </c>
      <c r="W15" s="119" t="inlineStr">
        <is>
          <t>Add source and rationale only if you enter an override.</t>
        </is>
      </c>
    </row>
    <row r="16" ht="15" customHeight="1" s="85">
      <c r="A16" s="113" t="inlineStr">
        <is>
          <t>DEAL-02</t>
        </is>
      </c>
      <c r="B16" s="113" t="inlineStr">
        <is>
          <t>2020-06-01</t>
        </is>
      </c>
      <c r="C16" s="113" t="inlineStr">
        <is>
          <t>Grubhub Inc.</t>
        </is>
      </c>
      <c r="D16" s="113" t="inlineStr">
        <is>
          <t>Just Eat Takeaway.com N.V.</t>
        </is>
      </c>
      <c r="E16" s="124" t="inlineStr">
        <is>
          <t>N/M</t>
        </is>
      </c>
      <c r="F16" s="124" t="inlineStr">
        <is>
          <t>N/M</t>
        </is>
      </c>
      <c r="G16" s="124" t="inlineStr">
        <is>
          <t>N/M</t>
        </is>
      </c>
      <c r="H16" s="124" t="inlineStr">
        <is>
          <t>N/M</t>
        </is>
      </c>
      <c r="I16" s="124" t="inlineStr">
        <is>
          <t>N/M</t>
        </is>
      </c>
      <c r="J16" s="124" t="inlineStr">
        <is>
          <t>N/M</t>
        </is>
      </c>
      <c r="K16" s="125" t="inlineStr">
        <is>
          <t>N/M</t>
        </is>
      </c>
      <c r="L16" s="125" t="inlineStr">
        <is>
          <t>N/M</t>
        </is>
      </c>
      <c r="M16" s="113" t="inlineStr">
        <is>
          <t>SRC-DEAL-02</t>
        </is>
      </c>
      <c r="N16" s="113" t="inlineStr">
        <is>
          <t>EV/LTM EBITDA reported in Twitter's 2022 merger proxy; month-level date</t>
        </is>
      </c>
      <c r="O16" s="126" t="inlineStr">
        <is>
          <t>N/M</t>
        </is>
      </c>
      <c r="P16" s="127" t="n">
        <v>47.4</v>
      </c>
      <c r="Q16" s="128" t="inlineStr">
        <is>
          <t>N/M</t>
        </is>
      </c>
      <c r="R16" s="113" t="inlineStr">
        <is>
          <t>Yes</t>
        </is>
      </c>
      <c r="S16" s="129" t="inlineStr">
        <is>
          <t>N/M</t>
        </is>
      </c>
      <c r="T16" s="129" t="inlineStr">
        <is>
          <t>N/M</t>
        </is>
      </c>
      <c r="U16" s="129" t="inlineStr">
        <is>
          <t>N/M</t>
        </is>
      </c>
      <c r="V16" s="130" t="inlineStr">
        <is>
          <t>N/M</t>
        </is>
      </c>
      <c r="W16" s="119" t="inlineStr">
        <is>
          <t>Add source and rationale only if you enter an override.</t>
        </is>
      </c>
    </row>
    <row r="17" ht="15" customHeight="1" s="85">
      <c r="A17" s="113" t="inlineStr">
        <is>
          <t>DEAL-03</t>
        </is>
      </c>
      <c r="B17" s="113" t="inlineStr">
        <is>
          <t>2019-12-01</t>
        </is>
      </c>
      <c r="C17" s="113" t="inlineStr">
        <is>
          <t>AutoScout24</t>
        </is>
      </c>
      <c r="D17" s="113" t="inlineStr">
        <is>
          <t>Hellman &amp; Friedman LLC</t>
        </is>
      </c>
      <c r="E17" s="124" t="inlineStr">
        <is>
          <t>N/M</t>
        </is>
      </c>
      <c r="F17" s="124" t="inlineStr">
        <is>
          <t>N/M</t>
        </is>
      </c>
      <c r="G17" s="124" t="inlineStr">
        <is>
          <t>N/M</t>
        </is>
      </c>
      <c r="H17" s="124" t="inlineStr">
        <is>
          <t>N/M</t>
        </is>
      </c>
      <c r="I17" s="124" t="inlineStr">
        <is>
          <t>N/M</t>
        </is>
      </c>
      <c r="J17" s="124" t="inlineStr">
        <is>
          <t>N/M</t>
        </is>
      </c>
      <c r="K17" s="125" t="inlineStr">
        <is>
          <t>N/M</t>
        </is>
      </c>
      <c r="L17" s="125" t="inlineStr">
        <is>
          <t>N/M</t>
        </is>
      </c>
      <c r="M17" s="113" t="inlineStr">
        <is>
          <t>SRC-DEAL-03</t>
        </is>
      </c>
      <c r="N17" s="113" t="inlineStr">
        <is>
          <t>EV/LTM EBITDA reported in Twitter's 2022 merger proxy; month-level date</t>
        </is>
      </c>
      <c r="O17" s="126" t="inlineStr">
        <is>
          <t>N/M</t>
        </is>
      </c>
      <c r="P17" s="127" t="n">
        <v>26.1</v>
      </c>
      <c r="Q17" s="128" t="inlineStr">
        <is>
          <t>N/M</t>
        </is>
      </c>
      <c r="R17" s="113" t="inlineStr">
        <is>
          <t>Yes</t>
        </is>
      </c>
      <c r="S17" s="129" t="inlineStr">
        <is>
          <t>N/M</t>
        </is>
      </c>
      <c r="T17" s="129" t="inlineStr">
        <is>
          <t>N/M</t>
        </is>
      </c>
      <c r="U17" s="129" t="inlineStr">
        <is>
          <t>N/M</t>
        </is>
      </c>
      <c r="V17" s="130" t="inlineStr">
        <is>
          <t>N/M</t>
        </is>
      </c>
      <c r="W17" s="119" t="inlineStr">
        <is>
          <t>Add source and rationale only if you enter an override.</t>
        </is>
      </c>
    </row>
    <row r="18" ht="15" customHeight="1" s="85">
      <c r="A18" s="113" t="inlineStr">
        <is>
          <t>DEAL-04</t>
        </is>
      </c>
      <c r="B18" s="113" t="inlineStr">
        <is>
          <t>2018-10-28</t>
        </is>
      </c>
      <c r="C18" s="113" t="inlineStr">
        <is>
          <t>Red Hat Inc.</t>
        </is>
      </c>
      <c r="D18" s="113" t="inlineStr">
        <is>
          <t>International Business Machines Corporation</t>
        </is>
      </c>
      <c r="E18" s="124" t="inlineStr">
        <is>
          <t>N/M</t>
        </is>
      </c>
      <c r="F18" s="124" t="inlineStr">
        <is>
          <t>N/M</t>
        </is>
      </c>
      <c r="G18" s="124" t="inlineStr">
        <is>
          <t>N/M</t>
        </is>
      </c>
      <c r="H18" s="120" t="n">
        <v>34000</v>
      </c>
      <c r="I18" s="120" t="n">
        <v>3380</v>
      </c>
      <c r="J18" s="120" t="n">
        <v>875</v>
      </c>
      <c r="K18" s="125" t="inlineStr">
        <is>
          <t>N/M</t>
        </is>
      </c>
      <c r="L18" s="125" t="inlineStr">
        <is>
          <t>N/M</t>
        </is>
      </c>
      <c r="M18" s="113" t="inlineStr">
        <is>
          <t>SRC-DEAL-04</t>
        </is>
      </c>
      <c r="N18" s="113" t="inlineStr">
        <is>
          <t>Transaction value and FY2019 estimated operating metrics disclosed in announcement and merger proxy; EBITDA is pre-SBC; raw amounts are USD</t>
        </is>
      </c>
      <c r="O18" s="127" t="n">
        <v>10.0591715976331</v>
      </c>
      <c r="P18" s="127" t="n">
        <v>38.8571428571429</v>
      </c>
      <c r="Q18" s="128" t="inlineStr">
        <is>
          <t>N/M</t>
        </is>
      </c>
      <c r="R18" s="113" t="inlineStr">
        <is>
          <t>Yes</t>
        </is>
      </c>
      <c r="S18" s="129" t="inlineStr">
        <is>
          <t>N/M</t>
        </is>
      </c>
      <c r="T18" s="129" t="inlineStr">
        <is>
          <t>N/M</t>
        </is>
      </c>
      <c r="U18" s="129" t="inlineStr">
        <is>
          <t>N/M</t>
        </is>
      </c>
      <c r="V18" s="130" t="inlineStr">
        <is>
          <t>N/M</t>
        </is>
      </c>
      <c r="W18" s="119" t="inlineStr">
        <is>
          <t>Add source and rationale only if you enter an override.</t>
        </is>
      </c>
    </row>
    <row r="19" ht="15" customHeight="1" s="85">
      <c r="A19" s="113" t="inlineStr">
        <is>
          <t>DEAL-05</t>
        </is>
      </c>
      <c r="B19" s="113" t="inlineStr">
        <is>
          <t>2018-05-01</t>
        </is>
      </c>
      <c r="C19" s="113" t="inlineStr">
        <is>
          <t>ZPG Plc</t>
        </is>
      </c>
      <c r="D19" s="113" t="inlineStr">
        <is>
          <t>Silver Lake</t>
        </is>
      </c>
      <c r="E19" s="124" t="inlineStr">
        <is>
          <t>N/M</t>
        </is>
      </c>
      <c r="F19" s="124" t="inlineStr">
        <is>
          <t>N/M</t>
        </is>
      </c>
      <c r="G19" s="124" t="inlineStr">
        <is>
          <t>N/M</t>
        </is>
      </c>
      <c r="H19" s="124" t="inlineStr">
        <is>
          <t>N/M</t>
        </is>
      </c>
      <c r="I19" s="124" t="inlineStr">
        <is>
          <t>N/M</t>
        </is>
      </c>
      <c r="J19" s="124" t="inlineStr">
        <is>
          <t>N/M</t>
        </is>
      </c>
      <c r="K19" s="125" t="inlineStr">
        <is>
          <t>N/M</t>
        </is>
      </c>
      <c r="L19" s="125" t="inlineStr">
        <is>
          <t>N/M</t>
        </is>
      </c>
      <c r="M19" s="113" t="inlineStr">
        <is>
          <t>SRC-DEAL-05</t>
        </is>
      </c>
      <c r="N19" s="113" t="inlineStr">
        <is>
          <t>EV/LTM EBITDA reported in Twitter's 2022 merger proxy; month-level date</t>
        </is>
      </c>
      <c r="O19" s="126" t="inlineStr">
        <is>
          <t>N/M</t>
        </is>
      </c>
      <c r="P19" s="127" t="n">
        <v>21.5</v>
      </c>
      <c r="Q19" s="128" t="inlineStr">
        <is>
          <t>N/M</t>
        </is>
      </c>
      <c r="R19" s="113" t="inlineStr">
        <is>
          <t>Yes</t>
        </is>
      </c>
      <c r="S19" s="129" t="inlineStr">
        <is>
          <t>N/M</t>
        </is>
      </c>
      <c r="T19" s="129" t="inlineStr">
        <is>
          <t>N/M</t>
        </is>
      </c>
      <c r="U19" s="129" t="inlineStr">
        <is>
          <t>N/M</t>
        </is>
      </c>
      <c r="V19" s="130" t="inlineStr">
        <is>
          <t>N/M</t>
        </is>
      </c>
      <c r="W19" s="119" t="inlineStr">
        <is>
          <t>Add source and rationale only if you enter an override.</t>
        </is>
      </c>
    </row>
    <row r="20" ht="15" customHeight="1" s="85">
      <c r="A20" s="113" t="inlineStr">
        <is>
          <t>DEAL-06</t>
        </is>
      </c>
      <c r="B20" s="113" t="inlineStr">
        <is>
          <t>2016-06-13</t>
        </is>
      </c>
      <c r="C20" s="113" t="inlineStr">
        <is>
          <t>LinkedIn Corporation</t>
        </is>
      </c>
      <c r="D20" s="113" t="inlineStr">
        <is>
          <t>Microsoft Corporation</t>
        </is>
      </c>
      <c r="E20" s="124" t="inlineStr">
        <is>
          <t>N/M</t>
        </is>
      </c>
      <c r="F20" s="124" t="inlineStr">
        <is>
          <t>N/M</t>
        </is>
      </c>
      <c r="G20" s="124" t="inlineStr">
        <is>
          <t>N/M</t>
        </is>
      </c>
      <c r="H20" s="120" t="n">
        <v>26200</v>
      </c>
      <c r="I20" s="120" t="n">
        <v>3738</v>
      </c>
      <c r="J20" s="120" t="n">
        <v>1031</v>
      </c>
      <c r="K20" s="125" t="inlineStr">
        <is>
          <t>N/M</t>
        </is>
      </c>
      <c r="L20" s="125" t="inlineStr">
        <is>
          <t>N/M</t>
        </is>
      </c>
      <c r="M20" s="113" t="inlineStr">
        <is>
          <t>SRC-DEAL-06</t>
        </is>
      </c>
      <c r="N20" s="113" t="inlineStr">
        <is>
          <t>Transaction value and FY2016 estimated operating metrics disclosed in announcement and merger proxy; raw amounts are USD</t>
        </is>
      </c>
      <c r="O20" s="127" t="n">
        <v>7.00909577314072</v>
      </c>
      <c r="P20" s="127" t="n">
        <v>25.4122211445199</v>
      </c>
      <c r="Q20" s="128" t="inlineStr">
        <is>
          <t>N/M</t>
        </is>
      </c>
      <c r="R20" s="113" t="inlineStr">
        <is>
          <t>Yes</t>
        </is>
      </c>
      <c r="S20" s="129" t="inlineStr">
        <is>
          <t>N/M</t>
        </is>
      </c>
      <c r="T20" s="129" t="inlineStr">
        <is>
          <t>N/M</t>
        </is>
      </c>
      <c r="U20" s="129" t="inlineStr">
        <is>
          <t>N/M</t>
        </is>
      </c>
      <c r="V20" s="130" t="inlineStr">
        <is>
          <t>N/M</t>
        </is>
      </c>
      <c r="W20" s="119" t="inlineStr">
        <is>
          <t>Add source and rationale only if you enter an override.</t>
        </is>
      </c>
    </row>
    <row r="21" ht="15" customHeight="1" s="85">
      <c r="A21" s="113" t="inlineStr">
        <is>
          <t>DEAL-07</t>
        </is>
      </c>
      <c r="B21" s="113" t="inlineStr">
        <is>
          <t>2015-11-01</t>
        </is>
      </c>
      <c r="C21" s="113" t="inlineStr">
        <is>
          <t>HomeAway, Inc.</t>
        </is>
      </c>
      <c r="D21" s="113" t="inlineStr">
        <is>
          <t>Expedia, Inc.</t>
        </is>
      </c>
      <c r="E21" s="124" t="inlineStr">
        <is>
          <t>N/M</t>
        </is>
      </c>
      <c r="F21" s="124" t="inlineStr">
        <is>
          <t>N/M</t>
        </is>
      </c>
      <c r="G21" s="124" t="inlineStr">
        <is>
          <t>N/M</t>
        </is>
      </c>
      <c r="H21" s="124" t="inlineStr">
        <is>
          <t>N/M</t>
        </is>
      </c>
      <c r="I21" s="124" t="inlineStr">
        <is>
          <t>N/M</t>
        </is>
      </c>
      <c r="J21" s="124" t="inlineStr">
        <is>
          <t>N/M</t>
        </is>
      </c>
      <c r="K21" s="125" t="inlineStr">
        <is>
          <t>N/M</t>
        </is>
      </c>
      <c r="L21" s="125" t="inlineStr">
        <is>
          <t>N/M</t>
        </is>
      </c>
      <c r="M21" s="113" t="inlineStr">
        <is>
          <t>SRC-DEAL-07</t>
        </is>
      </c>
      <c r="N21" s="113" t="inlineStr">
        <is>
          <t>EV/LTM EBITDA reported in Twitter's 2022 merger proxy; month-level date</t>
        </is>
      </c>
      <c r="O21" s="126" t="inlineStr">
        <is>
          <t>N/M</t>
        </is>
      </c>
      <c r="P21" s="127" t="n">
        <v>36.4</v>
      </c>
      <c r="Q21" s="128" t="inlineStr">
        <is>
          <t>N/M</t>
        </is>
      </c>
      <c r="R21" s="113" t="inlineStr">
        <is>
          <t>Yes</t>
        </is>
      </c>
      <c r="S21" s="129" t="inlineStr">
        <is>
          <t>N/M</t>
        </is>
      </c>
      <c r="T21" s="129" t="inlineStr">
        <is>
          <t>N/M</t>
        </is>
      </c>
      <c r="U21" s="129" t="inlineStr">
        <is>
          <t>N/M</t>
        </is>
      </c>
      <c r="V21" s="130" t="inlineStr">
        <is>
          <t>N/M</t>
        </is>
      </c>
      <c r="W21" s="119" t="inlineStr">
        <is>
          <t>Add source and rationale only if you enter an override.</t>
        </is>
      </c>
    </row>
    <row r="22" ht="15" customHeight="1" s="85">
      <c r="A22" s="113" t="inlineStr">
        <is>
          <t>DEAL-08</t>
        </is>
      </c>
      <c r="B22" s="113" t="inlineStr">
        <is>
          <t>2015-08-01</t>
        </is>
      </c>
      <c r="C22" s="113" t="inlineStr">
        <is>
          <t>zulily, inc.</t>
        </is>
      </c>
      <c r="D22" s="113" t="inlineStr">
        <is>
          <t>Liberty Interactive Corporation</t>
        </is>
      </c>
      <c r="E22" s="124" t="inlineStr">
        <is>
          <t>N/M</t>
        </is>
      </c>
      <c r="F22" s="124" t="inlineStr">
        <is>
          <t>N/M</t>
        </is>
      </c>
      <c r="G22" s="124" t="inlineStr">
        <is>
          <t>N/M</t>
        </is>
      </c>
      <c r="H22" s="124" t="inlineStr">
        <is>
          <t>N/M</t>
        </is>
      </c>
      <c r="I22" s="124" t="inlineStr">
        <is>
          <t>N/M</t>
        </is>
      </c>
      <c r="J22" s="124" t="inlineStr">
        <is>
          <t>N/M</t>
        </is>
      </c>
      <c r="K22" s="125" t="inlineStr">
        <is>
          <t>N/M</t>
        </is>
      </c>
      <c r="L22" s="125" t="inlineStr">
        <is>
          <t>N/M</t>
        </is>
      </c>
      <c r="M22" s="113" t="inlineStr">
        <is>
          <t>SRC-DEAL-08</t>
        </is>
      </c>
      <c r="N22" s="113" t="inlineStr">
        <is>
          <t>EV/LTM EBITDA reported in Twitter's 2022 merger proxy; month-level date</t>
        </is>
      </c>
      <c r="O22" s="126" t="inlineStr">
        <is>
          <t>N/M</t>
        </is>
      </c>
      <c r="P22" s="127" t="n">
        <v>50.6</v>
      </c>
      <c r="Q22" s="128" t="inlineStr">
        <is>
          <t>N/M</t>
        </is>
      </c>
      <c r="R22" s="113" t="inlineStr">
        <is>
          <t>Yes</t>
        </is>
      </c>
      <c r="S22" s="129" t="inlineStr">
        <is>
          <t>N/M</t>
        </is>
      </c>
      <c r="T22" s="129" t="inlineStr">
        <is>
          <t>N/M</t>
        </is>
      </c>
      <c r="U22" s="129" t="inlineStr">
        <is>
          <t>N/M</t>
        </is>
      </c>
      <c r="V22" s="130" t="inlineStr">
        <is>
          <t>N/M</t>
        </is>
      </c>
      <c r="W22" s="119" t="inlineStr">
        <is>
          <t>Add source and rationale only if you enter an override.</t>
        </is>
      </c>
    </row>
    <row r="23" ht="15" customHeight="1" s="85">
      <c r="A23" s="113" t="inlineStr">
        <is>
          <t>DEAL-09</t>
        </is>
      </c>
      <c r="B23" s="113" t="inlineStr">
        <is>
          <t>2014-09-29</t>
        </is>
      </c>
      <c r="C23" s="113" t="inlineStr">
        <is>
          <t>TIBCO Software Inc.</t>
        </is>
      </c>
      <c r="D23" s="113" t="inlineStr">
        <is>
          <t>Vista Equity Partners</t>
        </is>
      </c>
      <c r="E23" s="124" t="inlineStr">
        <is>
          <t>N/M</t>
        </is>
      </c>
      <c r="F23" s="124" t="inlineStr">
        <is>
          <t>N/M</t>
        </is>
      </c>
      <c r="G23" s="124" t="inlineStr">
        <is>
          <t>N/M</t>
        </is>
      </c>
      <c r="H23" s="120" t="n">
        <v>4200</v>
      </c>
      <c r="I23" s="120" t="n">
        <v>1083.7</v>
      </c>
      <c r="J23" s="120" t="n">
        <v>218.3</v>
      </c>
      <c r="K23" s="125" t="inlineStr">
        <is>
          <t>N/M</t>
        </is>
      </c>
      <c r="L23" s="125" t="inlineStr">
        <is>
          <t>N/M</t>
        </is>
      </c>
      <c r="M23" s="113" t="inlineStr">
        <is>
          <t>SRC-DEAL-09</t>
        </is>
      </c>
      <c r="N23" s="113" t="inlineStr">
        <is>
          <t>Enterprise value and FY2014 estimated operating metrics disclosed in merger proxy; raw amounts are USD</t>
        </is>
      </c>
      <c r="O23" s="127" t="n">
        <v>3.87561133154932</v>
      </c>
      <c r="P23" s="127" t="n">
        <v>19.2395785616125</v>
      </c>
      <c r="Q23" s="128" t="inlineStr">
        <is>
          <t>N/M</t>
        </is>
      </c>
      <c r="R23" s="113" t="inlineStr">
        <is>
          <t>Yes</t>
        </is>
      </c>
      <c r="S23" s="129" t="inlineStr">
        <is>
          <t>N/M</t>
        </is>
      </c>
      <c r="T23" s="129" t="inlineStr">
        <is>
          <t>N/M</t>
        </is>
      </c>
      <c r="U23" s="129" t="inlineStr">
        <is>
          <t>N/M</t>
        </is>
      </c>
      <c r="V23" s="130" t="inlineStr">
        <is>
          <t>N/M</t>
        </is>
      </c>
      <c r="W23" s="119" t="inlineStr">
        <is>
          <t>Add source and rationale only if you enter an override.</t>
        </is>
      </c>
    </row>
    <row r="24" ht="15" customHeight="1" s="85">
      <c r="A24" s="113" t="inlineStr">
        <is>
          <t>DEAL-10</t>
        </is>
      </c>
      <c r="B24" s="113" t="inlineStr">
        <is>
          <t>2014-06-01</t>
        </is>
      </c>
      <c r="C24" s="113" t="inlineStr">
        <is>
          <t>OpenTable, Inc.</t>
        </is>
      </c>
      <c r="D24" s="113" t="inlineStr">
        <is>
          <t>The Priceline Group Inc.</t>
        </is>
      </c>
      <c r="E24" s="124" t="inlineStr">
        <is>
          <t>N/M</t>
        </is>
      </c>
      <c r="F24" s="124" t="inlineStr">
        <is>
          <t>N/M</t>
        </is>
      </c>
      <c r="G24" s="124" t="inlineStr">
        <is>
          <t>N/M</t>
        </is>
      </c>
      <c r="H24" s="124" t="inlineStr">
        <is>
          <t>N/M</t>
        </is>
      </c>
      <c r="I24" s="124" t="inlineStr">
        <is>
          <t>N/M</t>
        </is>
      </c>
      <c r="J24" s="124" t="inlineStr">
        <is>
          <t>N/M</t>
        </is>
      </c>
      <c r="K24" s="125" t="inlineStr">
        <is>
          <t>N/M</t>
        </is>
      </c>
      <c r="L24" s="125" t="inlineStr">
        <is>
          <t>N/M</t>
        </is>
      </c>
      <c r="M24" s="113" t="inlineStr">
        <is>
          <t>SRC-DEAL-10</t>
        </is>
      </c>
      <c r="N24" s="113" t="inlineStr">
        <is>
          <t>EV/LTM EBITDA reported in Twitter's 2022 merger proxy; month-level date</t>
        </is>
      </c>
      <c r="O24" s="126" t="inlineStr">
        <is>
          <t>N/M</t>
        </is>
      </c>
      <c r="P24" s="127" t="n">
        <v>29.9</v>
      </c>
      <c r="Q24" s="128" t="inlineStr">
        <is>
          <t>N/M</t>
        </is>
      </c>
      <c r="R24" s="113" t="inlineStr">
        <is>
          <t>Yes</t>
        </is>
      </c>
      <c r="S24" s="129" t="inlineStr">
        <is>
          <t>N/M</t>
        </is>
      </c>
      <c r="T24" s="129" t="inlineStr">
        <is>
          <t>N/M</t>
        </is>
      </c>
      <c r="U24" s="129" t="inlineStr">
        <is>
          <t>N/M</t>
        </is>
      </c>
      <c r="V24" s="130" t="inlineStr">
        <is>
          <t>N/M</t>
        </is>
      </c>
      <c r="W24" s="119" t="inlineStr">
        <is>
          <t>Add source and rationale only if you enter an override.</t>
        </is>
      </c>
    </row>
    <row r="25" ht="15" customHeight="1" s="85">
      <c r="A25" s="113" t="inlineStr">
        <is>
          <t>DEAL-11</t>
        </is>
      </c>
      <c r="B25" s="113" t="inlineStr">
        <is>
          <t>2012-11-01</t>
        </is>
      </c>
      <c r="C25" s="113" t="inlineStr">
        <is>
          <t>KAYAK Software Corporation</t>
        </is>
      </c>
      <c r="D25" s="113" t="inlineStr">
        <is>
          <t>priceline.com Incorporated</t>
        </is>
      </c>
      <c r="E25" s="124" t="inlineStr">
        <is>
          <t>N/M</t>
        </is>
      </c>
      <c r="F25" s="124" t="inlineStr">
        <is>
          <t>N/M</t>
        </is>
      </c>
      <c r="G25" s="124" t="inlineStr">
        <is>
          <t>N/M</t>
        </is>
      </c>
      <c r="H25" s="124" t="inlineStr">
        <is>
          <t>N/M</t>
        </is>
      </c>
      <c r="I25" s="124" t="inlineStr">
        <is>
          <t>N/M</t>
        </is>
      </c>
      <c r="J25" s="124" t="inlineStr">
        <is>
          <t>N/M</t>
        </is>
      </c>
      <c r="K25" s="125" t="inlineStr">
        <is>
          <t>N/M</t>
        </is>
      </c>
      <c r="L25" s="125" t="inlineStr">
        <is>
          <t>N/M</t>
        </is>
      </c>
      <c r="M25" s="113" t="inlineStr">
        <is>
          <t>SRC-DEAL-11</t>
        </is>
      </c>
      <c r="N25" s="113" t="inlineStr">
        <is>
          <t>EV/LTM EBITDA reported in Twitter's 2022 merger proxy; month-level date</t>
        </is>
      </c>
      <c r="O25" s="126" t="inlineStr">
        <is>
          <t>N/M</t>
        </is>
      </c>
      <c r="P25" s="127" t="n">
        <v>27.6</v>
      </c>
      <c r="Q25" s="128" t="inlineStr">
        <is>
          <t>N/M</t>
        </is>
      </c>
      <c r="R25" s="113" t="inlineStr">
        <is>
          <t>Yes</t>
        </is>
      </c>
      <c r="S25" s="129" t="inlineStr">
        <is>
          <t>N/M</t>
        </is>
      </c>
      <c r="T25" s="129" t="inlineStr">
        <is>
          <t>N/M</t>
        </is>
      </c>
      <c r="U25" s="129" t="inlineStr">
        <is>
          <t>N/M</t>
        </is>
      </c>
      <c r="V25" s="130" t="inlineStr">
        <is>
          <t>N/M</t>
        </is>
      </c>
      <c r="W25" s="119" t="inlineStr">
        <is>
          <t>Add source and rationale only if you enter an override.</t>
        </is>
      </c>
    </row>
    <row r="26" ht="15" customHeight="1" s="85">
      <c r="A26" s="113" t="inlineStr">
        <is>
          <t>DEAL-12</t>
        </is>
      </c>
      <c r="B26" s="113" t="inlineStr">
        <is>
          <t>2011-05-01</t>
        </is>
      </c>
      <c r="C26" s="113" t="inlineStr">
        <is>
          <t>Skype Global S. a r.l.</t>
        </is>
      </c>
      <c r="D26" s="113" t="inlineStr">
        <is>
          <t>Microsoft Corporation</t>
        </is>
      </c>
      <c r="E26" s="124" t="inlineStr">
        <is>
          <t>N/M</t>
        </is>
      </c>
      <c r="F26" s="124" t="inlineStr">
        <is>
          <t>N/M</t>
        </is>
      </c>
      <c r="G26" s="124" t="inlineStr">
        <is>
          <t>N/M</t>
        </is>
      </c>
      <c r="H26" s="124" t="inlineStr">
        <is>
          <t>N/M</t>
        </is>
      </c>
      <c r="I26" s="124" t="inlineStr">
        <is>
          <t>N/M</t>
        </is>
      </c>
      <c r="J26" s="124" t="inlineStr">
        <is>
          <t>N/M</t>
        </is>
      </c>
      <c r="K26" s="125" t="inlineStr">
        <is>
          <t>N/M</t>
        </is>
      </c>
      <c r="L26" s="125" t="inlineStr">
        <is>
          <t>N/M</t>
        </is>
      </c>
      <c r="M26" s="113" t="inlineStr">
        <is>
          <t>SRC-DEAL-12</t>
        </is>
      </c>
      <c r="N26" s="113" t="inlineStr">
        <is>
          <t>EV/LTM EBITDA reported in Twitter's 2022 merger proxy; month-level date</t>
        </is>
      </c>
      <c r="O26" s="126" t="inlineStr">
        <is>
          <t>N/M</t>
        </is>
      </c>
      <c r="P26" s="127" t="n">
        <v>32.2</v>
      </c>
      <c r="Q26" s="128" t="inlineStr">
        <is>
          <t>N/M</t>
        </is>
      </c>
      <c r="R26" s="113" t="inlineStr">
        <is>
          <t>Yes</t>
        </is>
      </c>
      <c r="S26" s="129" t="inlineStr">
        <is>
          <t>N/M</t>
        </is>
      </c>
      <c r="T26" s="129" t="inlineStr">
        <is>
          <t>N/M</t>
        </is>
      </c>
      <c r="U26" s="129" t="inlineStr">
        <is>
          <t>N/M</t>
        </is>
      </c>
      <c r="V26" s="130" t="inlineStr">
        <is>
          <t>N/M</t>
        </is>
      </c>
      <c r="W26" s="119" t="inlineStr">
        <is>
          <t>Add source and rationale only if you enter an override.</t>
        </is>
      </c>
    </row>
  </sheetData>
  <mergeCells count="4">
    <mergeCell ref="A13:W13"/>
    <mergeCell ref="A2:W2"/>
    <mergeCell ref="A1:W1"/>
    <mergeCell ref="A4:G4"/>
  </mergeCells>
  <printOptions horizontalCentered="0" verticalCentered="0" headings="0" gridLines="0" gridLinesSet="1"/>
  <pageMargins left="0.75" right="0.75" top="1" bottom="1" header="0.511811023622047" footer="0.5"/>
  <pageSetup orientation="landscape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 filterMode="0">
    <tabColor rgb="FF1F4E78"/>
    <outlinePr summaryBelow="1" summaryRight="1"/>
    <pageSetUpPr fitToPage="1"/>
  </sheetPr>
  <dimension ref="A1:Y40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5" ySplit="5" topLeftCell="F6" activePane="bottomRight" state="frozen"/>
      <selection pane="topLeft" activeCell="A1" activeCellId="0" sqref="A1"/>
      <selection pane="topRight" activeCell="F1" activeCellId="0" sqref="F1"/>
      <selection pane="bottomLeft" activeCell="A6" activeCellId="0" sqref="A6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15" customWidth="1" style="84" min="1" max="1"/>
    <col width="25" customWidth="1" style="84" min="2" max="3"/>
    <col width="16" customWidth="1" style="84" min="4" max="4"/>
    <col width="13" customWidth="1" style="84" min="5" max="5"/>
    <col width="15" customWidth="1" style="84" min="6" max="6"/>
    <col width="16" customWidth="1" style="84" min="7" max="17"/>
    <col width="45" customWidth="1" style="84" min="18" max="18"/>
    <col width="18" customWidth="1" style="84" min="19" max="25"/>
  </cols>
  <sheetData>
    <row r="1" ht="27" customHeight="1" s="85">
      <c r="A1" s="86" t="inlineStr">
        <is>
          <t>Step III. Spread Key Statistics, Ratios, and Transaction Multiples</t>
        </is>
      </c>
    </row>
    <row r="2" ht="25.5" customHeight="1" s="85">
      <c r="A2" s="87" t="inlineStr">
        <is>
          <t>AI Valuation appears in A–R. Student Template effective data and multiples in S–Y use a blue Step II override only when one is entered.</t>
        </is>
      </c>
    </row>
    <row r="3"/>
    <row r="4"/>
    <row r="5" ht="28.5" customHeight="1" s="85">
      <c r="A5" s="97" t="inlineStr">
        <is>
          <t>Deal ID</t>
        </is>
      </c>
      <c r="B5" s="97" t="inlineStr">
        <is>
          <t>Target</t>
        </is>
      </c>
      <c r="C5" s="97" t="inlineStr">
        <is>
          <t>Acquirer</t>
        </is>
      </c>
      <c r="D5" s="97" t="inlineStr">
        <is>
          <t>Announced</t>
        </is>
      </c>
      <c r="E5" s="97" t="inlineStr">
        <is>
          <t>Code Include</t>
        </is>
      </c>
      <c r="F5" s="97" t="inlineStr">
        <is>
          <t>Student Include</t>
        </is>
      </c>
      <c r="G5" s="97" t="inlineStr">
        <is>
          <t>Equity Purchase Price</t>
        </is>
      </c>
      <c r="H5" s="97" t="inlineStr">
        <is>
          <t>Debt Assumed</t>
        </is>
      </c>
      <c r="I5" s="97" t="inlineStr">
        <is>
          <t>Cash Acquired</t>
        </is>
      </c>
      <c r="J5" s="97" t="inlineStr">
        <is>
          <t>Code Enterprise Value</t>
        </is>
      </c>
      <c r="K5" s="97" t="inlineStr">
        <is>
          <t>Revenue / Basis</t>
        </is>
      </c>
      <c r="L5" s="97" t="inlineStr">
        <is>
          <t>EBITDA / Basis</t>
        </is>
      </c>
      <c r="M5" s="97" t="inlineStr">
        <is>
          <t>Unaffected Price</t>
        </is>
      </c>
      <c r="N5" s="97" t="inlineStr">
        <is>
          <t>Offer Price</t>
        </is>
      </c>
      <c r="O5" s="97" t="inlineStr">
        <is>
          <t>Code EV / Revenue</t>
        </is>
      </c>
      <c r="P5" s="97" t="inlineStr">
        <is>
          <t>Code EV / EBITDA</t>
        </is>
      </c>
      <c r="Q5" s="97" t="inlineStr">
        <is>
          <t>Code Premium</t>
        </is>
      </c>
      <c r="R5" s="97" t="inlineStr">
        <is>
          <t>Source / Calculation</t>
        </is>
      </c>
      <c r="S5" s="97" t="inlineStr">
        <is>
          <t>Student Effective EV</t>
        </is>
      </c>
      <c r="T5" s="97" t="inlineStr">
        <is>
          <t>Student Effective Revenue</t>
        </is>
      </c>
      <c r="U5" s="97" t="inlineStr">
        <is>
          <t>Student Effective EBITDA</t>
        </is>
      </c>
      <c r="V5" s="97" t="inlineStr">
        <is>
          <t>Student Effective Premium</t>
        </is>
      </c>
      <c r="W5" s="97" t="inlineStr">
        <is>
          <t>Student EV / Revenue</t>
        </is>
      </c>
      <c r="X5" s="97" t="inlineStr">
        <is>
          <t>Student EV / EBITDA</t>
        </is>
      </c>
      <c r="Y5" s="97" t="inlineStr">
        <is>
          <t>Student Premium</t>
        </is>
      </c>
    </row>
    <row r="6" ht="26.85" customHeight="1" s="85">
      <c r="A6" s="114">
        <f>'Source Data'!A15</f>
        <v/>
      </c>
      <c r="B6" s="114">
        <f>'Source Data'!C15</f>
        <v/>
      </c>
      <c r="C6" s="114">
        <f>'Source Data'!D15</f>
        <v/>
      </c>
      <c r="D6" s="115">
        <f>'Source Data'!B15</f>
        <v/>
      </c>
      <c r="E6" s="114">
        <f>'Transaction Screening'!E6</f>
        <v/>
      </c>
      <c r="F6" s="114">
        <f>'Transaction Screening'!F6</f>
        <v/>
      </c>
      <c r="G6" s="131">
        <f>'Source Data'!E15</f>
        <v/>
      </c>
      <c r="H6" s="131">
        <f>'Source Data'!F15</f>
        <v/>
      </c>
      <c r="I6" s="131">
        <f>'Source Data'!G15</f>
        <v/>
      </c>
      <c r="J6" s="131">
        <f>IF(ISNUMBER('Source Data'!H15),'Source Data'!H15,IF(COUNT(G6:I6)=0,"N/M",SUM(G6:H6)-I6))</f>
        <v/>
      </c>
      <c r="K6" s="131">
        <f>'Source Data'!I15</f>
        <v/>
      </c>
      <c r="L6" s="131">
        <f>'Source Data'!J15</f>
        <v/>
      </c>
      <c r="M6" s="132">
        <f>'Source Data'!K15</f>
        <v/>
      </c>
      <c r="N6" s="132">
        <f>'Source Data'!L15</f>
        <v/>
      </c>
      <c r="O6" s="133">
        <f>IF(AND(ISNUMBER(J6),ISNUMBER(K6),K6&gt;0),J6/K6,IF(ISNUMBER('Source Data'!O15),'Source Data'!O15,"N/M"))</f>
        <v/>
      </c>
      <c r="P6" s="133">
        <f>IF(AND(ISNUMBER(J6),ISNUMBER(L6),L6&gt;0),J6/L6,IF(ISNUMBER('Source Data'!P15),'Source Data'!P15,"N/M"))</f>
        <v/>
      </c>
      <c r="Q6" s="134">
        <f>IF(AND(ISNUMBER(M6),ISNUMBER(N6),M6&gt;0),N6/M6-1,IF(ISNUMBER('Source Data'!Q15),'Source Data'!Q15,"N/M"))</f>
        <v/>
      </c>
      <c r="R6" s="135" t="inlineStr">
        <is>
          <t>Raw calculation when available; otherwise provider fields Source Data O15:Q15.</t>
        </is>
      </c>
      <c r="S6" s="131">
        <f>IF(ISNUMBER('Source Data'!S15),'Source Data'!S15,J6)</f>
        <v/>
      </c>
      <c r="T6" s="131">
        <f>IF(ISNUMBER('Source Data'!T15),'Source Data'!T15,K6)</f>
        <v/>
      </c>
      <c r="U6" s="131">
        <f>IF(ISNUMBER('Source Data'!U15),'Source Data'!U15,L6)</f>
        <v/>
      </c>
      <c r="V6" s="134">
        <f>IF(ISNUMBER('Source Data'!V15),'Source Data'!V15,Q6)</f>
        <v/>
      </c>
      <c r="W6" s="133">
        <f>IF(AND(ISNUMBER(S6),ISNUMBER(T6),T6&gt;0),S6/T6,IF(AND(NOT(ISNUMBER('Source Data'!S15)),NOT(ISNUMBER('Source Data'!T15)),ISNUMBER(O6)),O6,"N/M"))</f>
        <v/>
      </c>
      <c r="X6" s="133">
        <f>IF(AND(ISNUMBER(S6),ISNUMBER(U6),U6&gt;0),S6/U6,IF(AND(NOT(ISNUMBER('Source Data'!S15)),NOT(ISNUMBER('Source Data'!U15)),ISNUMBER(P6)),P6,"N/M"))</f>
        <v/>
      </c>
      <c r="Y6" s="136">
        <f>IF(ISNUMBER(V6),V6,"N/M")</f>
        <v/>
      </c>
    </row>
    <row r="7" ht="26.85" customHeight="1" s="85">
      <c r="A7" s="114">
        <f>'Source Data'!A16</f>
        <v/>
      </c>
      <c r="B7" s="114">
        <f>'Source Data'!C16</f>
        <v/>
      </c>
      <c r="C7" s="114">
        <f>'Source Data'!D16</f>
        <v/>
      </c>
      <c r="D7" s="115">
        <f>'Source Data'!B16</f>
        <v/>
      </c>
      <c r="E7" s="114">
        <f>'Transaction Screening'!E7</f>
        <v/>
      </c>
      <c r="F7" s="114">
        <f>'Transaction Screening'!F7</f>
        <v/>
      </c>
      <c r="G7" s="131">
        <f>'Source Data'!E16</f>
        <v/>
      </c>
      <c r="H7" s="131">
        <f>'Source Data'!F16</f>
        <v/>
      </c>
      <c r="I7" s="131">
        <f>'Source Data'!G16</f>
        <v/>
      </c>
      <c r="J7" s="131">
        <f>IF(ISNUMBER('Source Data'!H16),'Source Data'!H16,IF(COUNT(G7:I7)=0,"N/M",SUM(G7:H7)-I7))</f>
        <v/>
      </c>
      <c r="K7" s="131">
        <f>'Source Data'!I16</f>
        <v/>
      </c>
      <c r="L7" s="131">
        <f>'Source Data'!J16</f>
        <v/>
      </c>
      <c r="M7" s="132">
        <f>'Source Data'!K16</f>
        <v/>
      </c>
      <c r="N7" s="132">
        <f>'Source Data'!L16</f>
        <v/>
      </c>
      <c r="O7" s="133">
        <f>IF(AND(ISNUMBER(J7),ISNUMBER(K7),K7&gt;0),J7/K7,IF(ISNUMBER('Source Data'!O16),'Source Data'!O16,"N/M"))</f>
        <v/>
      </c>
      <c r="P7" s="133">
        <f>IF(AND(ISNUMBER(J7),ISNUMBER(L7),L7&gt;0),J7/L7,IF(ISNUMBER('Source Data'!P16),'Source Data'!P16,"N/M"))</f>
        <v/>
      </c>
      <c r="Q7" s="134">
        <f>IF(AND(ISNUMBER(M7),ISNUMBER(N7),M7&gt;0),N7/M7-1,IF(ISNUMBER('Source Data'!Q16),'Source Data'!Q16,"N/M"))</f>
        <v/>
      </c>
      <c r="R7" s="135" t="inlineStr">
        <is>
          <t>Raw calculation when available; otherwise provider fields Source Data O16:Q16.</t>
        </is>
      </c>
      <c r="S7" s="131">
        <f>IF(ISNUMBER('Source Data'!S16),'Source Data'!S16,J7)</f>
        <v/>
      </c>
      <c r="T7" s="131">
        <f>IF(ISNUMBER('Source Data'!T16),'Source Data'!T16,K7)</f>
        <v/>
      </c>
      <c r="U7" s="131">
        <f>IF(ISNUMBER('Source Data'!U16),'Source Data'!U16,L7)</f>
        <v/>
      </c>
      <c r="V7" s="134">
        <f>IF(ISNUMBER('Source Data'!V16),'Source Data'!V16,Q7)</f>
        <v/>
      </c>
      <c r="W7" s="133">
        <f>IF(AND(ISNUMBER(S7),ISNUMBER(T7),T7&gt;0),S7/T7,IF(AND(NOT(ISNUMBER('Source Data'!S16)),NOT(ISNUMBER('Source Data'!T16)),ISNUMBER(O7)),O7,"N/M"))</f>
        <v/>
      </c>
      <c r="X7" s="133">
        <f>IF(AND(ISNUMBER(S7),ISNUMBER(U7),U7&gt;0),S7/U7,IF(AND(NOT(ISNUMBER('Source Data'!S16)),NOT(ISNUMBER('Source Data'!U16)),ISNUMBER(P7)),P7,"N/M"))</f>
        <v/>
      </c>
      <c r="Y7" s="136">
        <f>IF(ISNUMBER(V7),V7,"N/M")</f>
        <v/>
      </c>
    </row>
    <row r="8" ht="26.85" customHeight="1" s="85">
      <c r="A8" s="114">
        <f>'Source Data'!A17</f>
        <v/>
      </c>
      <c r="B8" s="114">
        <f>'Source Data'!C17</f>
        <v/>
      </c>
      <c r="C8" s="114">
        <f>'Source Data'!D17</f>
        <v/>
      </c>
      <c r="D8" s="115">
        <f>'Source Data'!B17</f>
        <v/>
      </c>
      <c r="E8" s="114">
        <f>'Transaction Screening'!E8</f>
        <v/>
      </c>
      <c r="F8" s="114">
        <f>'Transaction Screening'!F8</f>
        <v/>
      </c>
      <c r="G8" s="131">
        <f>'Source Data'!E17</f>
        <v/>
      </c>
      <c r="H8" s="131">
        <f>'Source Data'!F17</f>
        <v/>
      </c>
      <c r="I8" s="131">
        <f>'Source Data'!G17</f>
        <v/>
      </c>
      <c r="J8" s="131">
        <f>IF(ISNUMBER('Source Data'!H17),'Source Data'!H17,IF(COUNT(G8:I8)=0,"N/M",SUM(G8:H8)-I8))</f>
        <v/>
      </c>
      <c r="K8" s="131">
        <f>'Source Data'!I17</f>
        <v/>
      </c>
      <c r="L8" s="131">
        <f>'Source Data'!J17</f>
        <v/>
      </c>
      <c r="M8" s="132">
        <f>'Source Data'!K17</f>
        <v/>
      </c>
      <c r="N8" s="132">
        <f>'Source Data'!L17</f>
        <v/>
      </c>
      <c r="O8" s="133">
        <f>IF(AND(ISNUMBER(J8),ISNUMBER(K8),K8&gt;0),J8/K8,IF(ISNUMBER('Source Data'!O17),'Source Data'!O17,"N/M"))</f>
        <v/>
      </c>
      <c r="P8" s="133">
        <f>IF(AND(ISNUMBER(J8),ISNUMBER(L8),L8&gt;0),J8/L8,IF(ISNUMBER('Source Data'!P17),'Source Data'!P17,"N/M"))</f>
        <v/>
      </c>
      <c r="Q8" s="134">
        <f>IF(AND(ISNUMBER(M8),ISNUMBER(N8),M8&gt;0),N8/M8-1,IF(ISNUMBER('Source Data'!Q17),'Source Data'!Q17,"N/M"))</f>
        <v/>
      </c>
      <c r="R8" s="135" t="inlineStr">
        <is>
          <t>Raw calculation when available; otherwise provider fields Source Data O17:Q17.</t>
        </is>
      </c>
      <c r="S8" s="131">
        <f>IF(ISNUMBER('Source Data'!S17),'Source Data'!S17,J8)</f>
        <v/>
      </c>
      <c r="T8" s="131">
        <f>IF(ISNUMBER('Source Data'!T17),'Source Data'!T17,K8)</f>
        <v/>
      </c>
      <c r="U8" s="131">
        <f>IF(ISNUMBER('Source Data'!U17),'Source Data'!U17,L8)</f>
        <v/>
      </c>
      <c r="V8" s="134">
        <f>IF(ISNUMBER('Source Data'!V17),'Source Data'!V17,Q8)</f>
        <v/>
      </c>
      <c r="W8" s="133">
        <f>IF(AND(ISNUMBER(S8),ISNUMBER(T8),T8&gt;0),S8/T8,IF(AND(NOT(ISNUMBER('Source Data'!S17)),NOT(ISNUMBER('Source Data'!T17)),ISNUMBER(O8)),O8,"N/M"))</f>
        <v/>
      </c>
      <c r="X8" s="133">
        <f>IF(AND(ISNUMBER(S8),ISNUMBER(U8),U8&gt;0),S8/U8,IF(AND(NOT(ISNUMBER('Source Data'!S17)),NOT(ISNUMBER('Source Data'!U17)),ISNUMBER(P8)),P8,"N/M"))</f>
        <v/>
      </c>
      <c r="Y8" s="136">
        <f>IF(ISNUMBER(V8),V8,"N/M")</f>
        <v/>
      </c>
    </row>
    <row r="9" ht="26.85" customHeight="1" s="85">
      <c r="A9" s="114">
        <f>'Source Data'!A18</f>
        <v/>
      </c>
      <c r="B9" s="114">
        <f>'Source Data'!C18</f>
        <v/>
      </c>
      <c r="C9" s="114">
        <f>'Source Data'!D18</f>
        <v/>
      </c>
      <c r="D9" s="115">
        <f>'Source Data'!B18</f>
        <v/>
      </c>
      <c r="E9" s="114">
        <f>'Transaction Screening'!E9</f>
        <v/>
      </c>
      <c r="F9" s="114">
        <f>'Transaction Screening'!F9</f>
        <v/>
      </c>
      <c r="G9" s="131">
        <f>'Source Data'!E18</f>
        <v/>
      </c>
      <c r="H9" s="131">
        <f>'Source Data'!F18</f>
        <v/>
      </c>
      <c r="I9" s="131">
        <f>'Source Data'!G18</f>
        <v/>
      </c>
      <c r="J9" s="131">
        <f>IF(ISNUMBER('Source Data'!H18),'Source Data'!H18,IF(COUNT(G9:I9)=0,"N/M",SUM(G9:H9)-I9))</f>
        <v/>
      </c>
      <c r="K9" s="131">
        <f>'Source Data'!I18</f>
        <v/>
      </c>
      <c r="L9" s="131">
        <f>'Source Data'!J18</f>
        <v/>
      </c>
      <c r="M9" s="132">
        <f>'Source Data'!K18</f>
        <v/>
      </c>
      <c r="N9" s="132">
        <f>'Source Data'!L18</f>
        <v/>
      </c>
      <c r="O9" s="133">
        <f>IF(AND(ISNUMBER(J9),ISNUMBER(K9),K9&gt;0),J9/K9,IF(ISNUMBER('Source Data'!O18),'Source Data'!O18,"N/M"))</f>
        <v/>
      </c>
      <c r="P9" s="133">
        <f>IF(AND(ISNUMBER(J9),ISNUMBER(L9),L9&gt;0),J9/L9,IF(ISNUMBER('Source Data'!P18),'Source Data'!P18,"N/M"))</f>
        <v/>
      </c>
      <c r="Q9" s="134">
        <f>IF(AND(ISNUMBER(M9),ISNUMBER(N9),M9&gt;0),N9/M9-1,IF(ISNUMBER('Source Data'!Q18),'Source Data'!Q18,"N/M"))</f>
        <v/>
      </c>
      <c r="R9" s="135" t="inlineStr">
        <is>
          <t>Raw calculation when available; otherwise provider fields Source Data O18:Q18.</t>
        </is>
      </c>
      <c r="S9" s="131">
        <f>IF(ISNUMBER('Source Data'!S18),'Source Data'!S18,J9)</f>
        <v/>
      </c>
      <c r="T9" s="131">
        <f>IF(ISNUMBER('Source Data'!T18),'Source Data'!T18,K9)</f>
        <v/>
      </c>
      <c r="U9" s="131">
        <f>IF(ISNUMBER('Source Data'!U18),'Source Data'!U18,L9)</f>
        <v/>
      </c>
      <c r="V9" s="134">
        <f>IF(ISNUMBER('Source Data'!V18),'Source Data'!V18,Q9)</f>
        <v/>
      </c>
      <c r="W9" s="133">
        <f>IF(AND(ISNUMBER(S9),ISNUMBER(T9),T9&gt;0),S9/T9,IF(AND(NOT(ISNUMBER('Source Data'!S18)),NOT(ISNUMBER('Source Data'!T18)),ISNUMBER(O9)),O9,"N/M"))</f>
        <v/>
      </c>
      <c r="X9" s="133">
        <f>IF(AND(ISNUMBER(S9),ISNUMBER(U9),U9&gt;0),S9/U9,IF(AND(NOT(ISNUMBER('Source Data'!S18)),NOT(ISNUMBER('Source Data'!U18)),ISNUMBER(P9)),P9,"N/M"))</f>
        <v/>
      </c>
      <c r="Y9" s="136">
        <f>IF(ISNUMBER(V9),V9,"N/M")</f>
        <v/>
      </c>
    </row>
    <row r="10" ht="26.85" customHeight="1" s="85">
      <c r="A10" s="114">
        <f>'Source Data'!A19</f>
        <v/>
      </c>
      <c r="B10" s="114">
        <f>'Source Data'!C19</f>
        <v/>
      </c>
      <c r="C10" s="114">
        <f>'Source Data'!D19</f>
        <v/>
      </c>
      <c r="D10" s="115">
        <f>'Source Data'!B19</f>
        <v/>
      </c>
      <c r="E10" s="114">
        <f>'Transaction Screening'!E10</f>
        <v/>
      </c>
      <c r="F10" s="114">
        <f>'Transaction Screening'!F10</f>
        <v/>
      </c>
      <c r="G10" s="131">
        <f>'Source Data'!E19</f>
        <v/>
      </c>
      <c r="H10" s="131">
        <f>'Source Data'!F19</f>
        <v/>
      </c>
      <c r="I10" s="131">
        <f>'Source Data'!G19</f>
        <v/>
      </c>
      <c r="J10" s="131">
        <f>IF(ISNUMBER('Source Data'!H19),'Source Data'!H19,IF(COUNT(G10:I10)=0,"N/M",SUM(G10:H10)-I10))</f>
        <v/>
      </c>
      <c r="K10" s="131">
        <f>'Source Data'!I19</f>
        <v/>
      </c>
      <c r="L10" s="131">
        <f>'Source Data'!J19</f>
        <v/>
      </c>
      <c r="M10" s="132">
        <f>'Source Data'!K19</f>
        <v/>
      </c>
      <c r="N10" s="132">
        <f>'Source Data'!L19</f>
        <v/>
      </c>
      <c r="O10" s="133">
        <f>IF(AND(ISNUMBER(J10),ISNUMBER(K10),K10&gt;0),J10/K10,IF(ISNUMBER('Source Data'!O19),'Source Data'!O19,"N/M"))</f>
        <v/>
      </c>
      <c r="P10" s="133">
        <f>IF(AND(ISNUMBER(J10),ISNUMBER(L10),L10&gt;0),J10/L10,IF(ISNUMBER('Source Data'!P19),'Source Data'!P19,"N/M"))</f>
        <v/>
      </c>
      <c r="Q10" s="134">
        <f>IF(AND(ISNUMBER(M10),ISNUMBER(N10),M10&gt;0),N10/M10-1,IF(ISNUMBER('Source Data'!Q19),'Source Data'!Q19,"N/M"))</f>
        <v/>
      </c>
      <c r="R10" s="135" t="inlineStr">
        <is>
          <t>Raw calculation when available; otherwise provider fields Source Data O19:Q19.</t>
        </is>
      </c>
      <c r="S10" s="131">
        <f>IF(ISNUMBER('Source Data'!S19),'Source Data'!S19,J10)</f>
        <v/>
      </c>
      <c r="T10" s="131">
        <f>IF(ISNUMBER('Source Data'!T19),'Source Data'!T19,K10)</f>
        <v/>
      </c>
      <c r="U10" s="131">
        <f>IF(ISNUMBER('Source Data'!U19),'Source Data'!U19,L10)</f>
        <v/>
      </c>
      <c r="V10" s="134">
        <f>IF(ISNUMBER('Source Data'!V19),'Source Data'!V19,Q10)</f>
        <v/>
      </c>
      <c r="W10" s="133">
        <f>IF(AND(ISNUMBER(S10),ISNUMBER(T10),T10&gt;0),S10/T10,IF(AND(NOT(ISNUMBER('Source Data'!S19)),NOT(ISNUMBER('Source Data'!T19)),ISNUMBER(O10)),O10,"N/M"))</f>
        <v/>
      </c>
      <c r="X10" s="133">
        <f>IF(AND(ISNUMBER(S10),ISNUMBER(U10),U10&gt;0),S10/U10,IF(AND(NOT(ISNUMBER('Source Data'!S19)),NOT(ISNUMBER('Source Data'!U19)),ISNUMBER(P10)),P10,"N/M"))</f>
        <v/>
      </c>
      <c r="Y10" s="136">
        <f>IF(ISNUMBER(V10),V10,"N/M")</f>
        <v/>
      </c>
    </row>
    <row r="11" ht="26.85" customHeight="1" s="85">
      <c r="A11" s="114">
        <f>'Source Data'!A20</f>
        <v/>
      </c>
      <c r="B11" s="114">
        <f>'Source Data'!C20</f>
        <v/>
      </c>
      <c r="C11" s="114">
        <f>'Source Data'!D20</f>
        <v/>
      </c>
      <c r="D11" s="115">
        <f>'Source Data'!B20</f>
        <v/>
      </c>
      <c r="E11" s="114">
        <f>'Transaction Screening'!E11</f>
        <v/>
      </c>
      <c r="F11" s="114">
        <f>'Transaction Screening'!F11</f>
        <v/>
      </c>
      <c r="G11" s="131">
        <f>'Source Data'!E20</f>
        <v/>
      </c>
      <c r="H11" s="131">
        <f>'Source Data'!F20</f>
        <v/>
      </c>
      <c r="I11" s="131">
        <f>'Source Data'!G20</f>
        <v/>
      </c>
      <c r="J11" s="131">
        <f>IF(ISNUMBER('Source Data'!H20),'Source Data'!H20,IF(COUNT(G11:I11)=0,"N/M",SUM(G11:H11)-I11))</f>
        <v/>
      </c>
      <c r="K11" s="131">
        <f>'Source Data'!I20</f>
        <v/>
      </c>
      <c r="L11" s="131">
        <f>'Source Data'!J20</f>
        <v/>
      </c>
      <c r="M11" s="132">
        <f>'Source Data'!K20</f>
        <v/>
      </c>
      <c r="N11" s="132">
        <f>'Source Data'!L20</f>
        <v/>
      </c>
      <c r="O11" s="133">
        <f>IF(AND(ISNUMBER(J11),ISNUMBER(K11),K11&gt;0),J11/K11,IF(ISNUMBER('Source Data'!O20),'Source Data'!O20,"N/M"))</f>
        <v/>
      </c>
      <c r="P11" s="133">
        <f>IF(AND(ISNUMBER(J11),ISNUMBER(L11),L11&gt;0),J11/L11,IF(ISNUMBER('Source Data'!P20),'Source Data'!P20,"N/M"))</f>
        <v/>
      </c>
      <c r="Q11" s="134">
        <f>IF(AND(ISNUMBER(M11),ISNUMBER(N11),M11&gt;0),N11/M11-1,IF(ISNUMBER('Source Data'!Q20),'Source Data'!Q20,"N/M"))</f>
        <v/>
      </c>
      <c r="R11" s="135" t="inlineStr">
        <is>
          <t>Raw calculation when available; otherwise provider fields Source Data O20:Q20.</t>
        </is>
      </c>
      <c r="S11" s="131">
        <f>IF(ISNUMBER('Source Data'!S20),'Source Data'!S20,J11)</f>
        <v/>
      </c>
      <c r="T11" s="131">
        <f>IF(ISNUMBER('Source Data'!T20),'Source Data'!T20,K11)</f>
        <v/>
      </c>
      <c r="U11" s="131">
        <f>IF(ISNUMBER('Source Data'!U20),'Source Data'!U20,L11)</f>
        <v/>
      </c>
      <c r="V11" s="134">
        <f>IF(ISNUMBER('Source Data'!V20),'Source Data'!V20,Q11)</f>
        <v/>
      </c>
      <c r="W11" s="133">
        <f>IF(AND(ISNUMBER(S11),ISNUMBER(T11),T11&gt;0),S11/T11,IF(AND(NOT(ISNUMBER('Source Data'!S20)),NOT(ISNUMBER('Source Data'!T20)),ISNUMBER(O11)),O11,"N/M"))</f>
        <v/>
      </c>
      <c r="X11" s="133">
        <f>IF(AND(ISNUMBER(S11),ISNUMBER(U11),U11&gt;0),S11/U11,IF(AND(NOT(ISNUMBER('Source Data'!S20)),NOT(ISNUMBER('Source Data'!U20)),ISNUMBER(P11)),P11,"N/M"))</f>
        <v/>
      </c>
      <c r="Y11" s="136">
        <f>IF(ISNUMBER(V11),V11,"N/M")</f>
        <v/>
      </c>
    </row>
    <row r="12" ht="26.85" customHeight="1" s="85">
      <c r="A12" s="114">
        <f>'Source Data'!A21</f>
        <v/>
      </c>
      <c r="B12" s="114">
        <f>'Source Data'!C21</f>
        <v/>
      </c>
      <c r="C12" s="114">
        <f>'Source Data'!D21</f>
        <v/>
      </c>
      <c r="D12" s="115">
        <f>'Source Data'!B21</f>
        <v/>
      </c>
      <c r="E12" s="114">
        <f>'Transaction Screening'!E12</f>
        <v/>
      </c>
      <c r="F12" s="114">
        <f>'Transaction Screening'!F12</f>
        <v/>
      </c>
      <c r="G12" s="131">
        <f>'Source Data'!E21</f>
        <v/>
      </c>
      <c r="H12" s="131">
        <f>'Source Data'!F21</f>
        <v/>
      </c>
      <c r="I12" s="131">
        <f>'Source Data'!G21</f>
        <v/>
      </c>
      <c r="J12" s="131">
        <f>IF(ISNUMBER('Source Data'!H21),'Source Data'!H21,IF(COUNT(G12:I12)=0,"N/M",SUM(G12:H12)-I12))</f>
        <v/>
      </c>
      <c r="K12" s="131">
        <f>'Source Data'!I21</f>
        <v/>
      </c>
      <c r="L12" s="131">
        <f>'Source Data'!J21</f>
        <v/>
      </c>
      <c r="M12" s="132">
        <f>'Source Data'!K21</f>
        <v/>
      </c>
      <c r="N12" s="132">
        <f>'Source Data'!L21</f>
        <v/>
      </c>
      <c r="O12" s="133">
        <f>IF(AND(ISNUMBER(J12),ISNUMBER(K12),K12&gt;0),J12/K12,IF(ISNUMBER('Source Data'!O21),'Source Data'!O21,"N/M"))</f>
        <v/>
      </c>
      <c r="P12" s="133">
        <f>IF(AND(ISNUMBER(J12),ISNUMBER(L12),L12&gt;0),J12/L12,IF(ISNUMBER('Source Data'!P21),'Source Data'!P21,"N/M"))</f>
        <v/>
      </c>
      <c r="Q12" s="134">
        <f>IF(AND(ISNUMBER(M12),ISNUMBER(N12),M12&gt;0),N12/M12-1,IF(ISNUMBER('Source Data'!Q21),'Source Data'!Q21,"N/M"))</f>
        <v/>
      </c>
      <c r="R12" s="135" t="inlineStr">
        <is>
          <t>Raw calculation when available; otherwise provider fields Source Data O21:Q21.</t>
        </is>
      </c>
      <c r="S12" s="131">
        <f>IF(ISNUMBER('Source Data'!S21),'Source Data'!S21,J12)</f>
        <v/>
      </c>
      <c r="T12" s="131">
        <f>IF(ISNUMBER('Source Data'!T21),'Source Data'!T21,K12)</f>
        <v/>
      </c>
      <c r="U12" s="131">
        <f>IF(ISNUMBER('Source Data'!U21),'Source Data'!U21,L12)</f>
        <v/>
      </c>
      <c r="V12" s="134">
        <f>IF(ISNUMBER('Source Data'!V21),'Source Data'!V21,Q12)</f>
        <v/>
      </c>
      <c r="W12" s="133">
        <f>IF(AND(ISNUMBER(S12),ISNUMBER(T12),T12&gt;0),S12/T12,IF(AND(NOT(ISNUMBER('Source Data'!S21)),NOT(ISNUMBER('Source Data'!T21)),ISNUMBER(O12)),O12,"N/M"))</f>
        <v/>
      </c>
      <c r="X12" s="133">
        <f>IF(AND(ISNUMBER(S12),ISNUMBER(U12),U12&gt;0),S12/U12,IF(AND(NOT(ISNUMBER('Source Data'!S21)),NOT(ISNUMBER('Source Data'!U21)),ISNUMBER(P12)),P12,"N/M"))</f>
        <v/>
      </c>
      <c r="Y12" s="136">
        <f>IF(ISNUMBER(V12),V12,"N/M")</f>
        <v/>
      </c>
    </row>
    <row r="13" ht="26.85" customHeight="1" s="85">
      <c r="A13" s="114">
        <f>'Source Data'!A22</f>
        <v/>
      </c>
      <c r="B13" s="114">
        <f>'Source Data'!C22</f>
        <v/>
      </c>
      <c r="C13" s="114">
        <f>'Source Data'!D22</f>
        <v/>
      </c>
      <c r="D13" s="115">
        <f>'Source Data'!B22</f>
        <v/>
      </c>
      <c r="E13" s="114">
        <f>'Transaction Screening'!E13</f>
        <v/>
      </c>
      <c r="F13" s="114">
        <f>'Transaction Screening'!F13</f>
        <v/>
      </c>
      <c r="G13" s="131">
        <f>'Source Data'!E22</f>
        <v/>
      </c>
      <c r="H13" s="131">
        <f>'Source Data'!F22</f>
        <v/>
      </c>
      <c r="I13" s="131">
        <f>'Source Data'!G22</f>
        <v/>
      </c>
      <c r="J13" s="131">
        <f>IF(ISNUMBER('Source Data'!H22),'Source Data'!H22,IF(COUNT(G13:I13)=0,"N/M",SUM(G13:H13)-I13))</f>
        <v/>
      </c>
      <c r="K13" s="131">
        <f>'Source Data'!I22</f>
        <v/>
      </c>
      <c r="L13" s="131">
        <f>'Source Data'!J22</f>
        <v/>
      </c>
      <c r="M13" s="132">
        <f>'Source Data'!K22</f>
        <v/>
      </c>
      <c r="N13" s="132">
        <f>'Source Data'!L22</f>
        <v/>
      </c>
      <c r="O13" s="133">
        <f>IF(AND(ISNUMBER(J13),ISNUMBER(K13),K13&gt;0),J13/K13,IF(ISNUMBER('Source Data'!O22),'Source Data'!O22,"N/M"))</f>
        <v/>
      </c>
      <c r="P13" s="133">
        <f>IF(AND(ISNUMBER(J13),ISNUMBER(L13),L13&gt;0),J13/L13,IF(ISNUMBER('Source Data'!P22),'Source Data'!P22,"N/M"))</f>
        <v/>
      </c>
      <c r="Q13" s="134">
        <f>IF(AND(ISNUMBER(M13),ISNUMBER(N13),M13&gt;0),N13/M13-1,IF(ISNUMBER('Source Data'!Q22),'Source Data'!Q22,"N/M"))</f>
        <v/>
      </c>
      <c r="R13" s="135" t="inlineStr">
        <is>
          <t>Raw calculation when available; otherwise provider fields Source Data O22:Q22.</t>
        </is>
      </c>
      <c r="S13" s="131">
        <f>IF(ISNUMBER('Source Data'!S22),'Source Data'!S22,J13)</f>
        <v/>
      </c>
      <c r="T13" s="131">
        <f>IF(ISNUMBER('Source Data'!T22),'Source Data'!T22,K13)</f>
        <v/>
      </c>
      <c r="U13" s="131">
        <f>IF(ISNUMBER('Source Data'!U22),'Source Data'!U22,L13)</f>
        <v/>
      </c>
      <c r="V13" s="134">
        <f>IF(ISNUMBER('Source Data'!V22),'Source Data'!V22,Q13)</f>
        <v/>
      </c>
      <c r="W13" s="133">
        <f>IF(AND(ISNUMBER(S13),ISNUMBER(T13),T13&gt;0),S13/T13,IF(AND(NOT(ISNUMBER('Source Data'!S22)),NOT(ISNUMBER('Source Data'!T22)),ISNUMBER(O13)),O13,"N/M"))</f>
        <v/>
      </c>
      <c r="X13" s="133">
        <f>IF(AND(ISNUMBER(S13),ISNUMBER(U13),U13&gt;0),S13/U13,IF(AND(NOT(ISNUMBER('Source Data'!S22)),NOT(ISNUMBER('Source Data'!U22)),ISNUMBER(P13)),P13,"N/M"))</f>
        <v/>
      </c>
      <c r="Y13" s="136">
        <f>IF(ISNUMBER(V13),V13,"N/M")</f>
        <v/>
      </c>
    </row>
    <row r="14" ht="26.85" customHeight="1" s="85">
      <c r="A14" s="114">
        <f>'Source Data'!A23</f>
        <v/>
      </c>
      <c r="B14" s="114">
        <f>'Source Data'!C23</f>
        <v/>
      </c>
      <c r="C14" s="114">
        <f>'Source Data'!D23</f>
        <v/>
      </c>
      <c r="D14" s="115">
        <f>'Source Data'!B23</f>
        <v/>
      </c>
      <c r="E14" s="114">
        <f>'Transaction Screening'!E14</f>
        <v/>
      </c>
      <c r="F14" s="114">
        <f>'Transaction Screening'!F14</f>
        <v/>
      </c>
      <c r="G14" s="131">
        <f>'Source Data'!E23</f>
        <v/>
      </c>
      <c r="H14" s="131">
        <f>'Source Data'!F23</f>
        <v/>
      </c>
      <c r="I14" s="131">
        <f>'Source Data'!G23</f>
        <v/>
      </c>
      <c r="J14" s="131">
        <f>IF(ISNUMBER('Source Data'!H23),'Source Data'!H23,IF(COUNT(G14:I14)=0,"N/M",SUM(G14:H14)-I14))</f>
        <v/>
      </c>
      <c r="K14" s="131">
        <f>'Source Data'!I23</f>
        <v/>
      </c>
      <c r="L14" s="131">
        <f>'Source Data'!J23</f>
        <v/>
      </c>
      <c r="M14" s="132">
        <f>'Source Data'!K23</f>
        <v/>
      </c>
      <c r="N14" s="132">
        <f>'Source Data'!L23</f>
        <v/>
      </c>
      <c r="O14" s="133">
        <f>IF(AND(ISNUMBER(J14),ISNUMBER(K14),K14&gt;0),J14/K14,IF(ISNUMBER('Source Data'!O23),'Source Data'!O23,"N/M"))</f>
        <v/>
      </c>
      <c r="P14" s="133">
        <f>IF(AND(ISNUMBER(J14),ISNUMBER(L14),L14&gt;0),J14/L14,IF(ISNUMBER('Source Data'!P23),'Source Data'!P23,"N/M"))</f>
        <v/>
      </c>
      <c r="Q14" s="134">
        <f>IF(AND(ISNUMBER(M14),ISNUMBER(N14),M14&gt;0),N14/M14-1,IF(ISNUMBER('Source Data'!Q23),'Source Data'!Q23,"N/M"))</f>
        <v/>
      </c>
      <c r="R14" s="135" t="inlineStr">
        <is>
          <t>Raw calculation when available; otherwise provider fields Source Data O23:Q23.</t>
        </is>
      </c>
      <c r="S14" s="131">
        <f>IF(ISNUMBER('Source Data'!S23),'Source Data'!S23,J14)</f>
        <v/>
      </c>
      <c r="T14" s="131">
        <f>IF(ISNUMBER('Source Data'!T23),'Source Data'!T23,K14)</f>
        <v/>
      </c>
      <c r="U14" s="131">
        <f>IF(ISNUMBER('Source Data'!U23),'Source Data'!U23,L14)</f>
        <v/>
      </c>
      <c r="V14" s="134">
        <f>IF(ISNUMBER('Source Data'!V23),'Source Data'!V23,Q14)</f>
        <v/>
      </c>
      <c r="W14" s="133">
        <f>IF(AND(ISNUMBER(S14),ISNUMBER(T14),T14&gt;0),S14/T14,IF(AND(NOT(ISNUMBER('Source Data'!S23)),NOT(ISNUMBER('Source Data'!T23)),ISNUMBER(O14)),O14,"N/M"))</f>
        <v/>
      </c>
      <c r="X14" s="133">
        <f>IF(AND(ISNUMBER(S14),ISNUMBER(U14),U14&gt;0),S14/U14,IF(AND(NOT(ISNUMBER('Source Data'!S23)),NOT(ISNUMBER('Source Data'!U23)),ISNUMBER(P14)),P14,"N/M"))</f>
        <v/>
      </c>
      <c r="Y14" s="136">
        <f>IF(ISNUMBER(V14),V14,"N/M")</f>
        <v/>
      </c>
    </row>
    <row r="15" ht="26.85" customHeight="1" s="85">
      <c r="A15" s="114">
        <f>'Source Data'!A24</f>
        <v/>
      </c>
      <c r="B15" s="114">
        <f>'Source Data'!C24</f>
        <v/>
      </c>
      <c r="C15" s="114">
        <f>'Source Data'!D24</f>
        <v/>
      </c>
      <c r="D15" s="115">
        <f>'Source Data'!B24</f>
        <v/>
      </c>
      <c r="E15" s="114">
        <f>'Transaction Screening'!E15</f>
        <v/>
      </c>
      <c r="F15" s="114">
        <f>'Transaction Screening'!F15</f>
        <v/>
      </c>
      <c r="G15" s="131">
        <f>'Source Data'!E24</f>
        <v/>
      </c>
      <c r="H15" s="131">
        <f>'Source Data'!F24</f>
        <v/>
      </c>
      <c r="I15" s="131">
        <f>'Source Data'!G24</f>
        <v/>
      </c>
      <c r="J15" s="131">
        <f>IF(ISNUMBER('Source Data'!H24),'Source Data'!H24,IF(COUNT(G15:I15)=0,"N/M",SUM(G15:H15)-I15))</f>
        <v/>
      </c>
      <c r="K15" s="131">
        <f>'Source Data'!I24</f>
        <v/>
      </c>
      <c r="L15" s="131">
        <f>'Source Data'!J24</f>
        <v/>
      </c>
      <c r="M15" s="132">
        <f>'Source Data'!K24</f>
        <v/>
      </c>
      <c r="N15" s="132">
        <f>'Source Data'!L24</f>
        <v/>
      </c>
      <c r="O15" s="133">
        <f>IF(AND(ISNUMBER(J15),ISNUMBER(K15),K15&gt;0),J15/K15,IF(ISNUMBER('Source Data'!O24),'Source Data'!O24,"N/M"))</f>
        <v/>
      </c>
      <c r="P15" s="133">
        <f>IF(AND(ISNUMBER(J15),ISNUMBER(L15),L15&gt;0),J15/L15,IF(ISNUMBER('Source Data'!P24),'Source Data'!P24,"N/M"))</f>
        <v/>
      </c>
      <c r="Q15" s="134">
        <f>IF(AND(ISNUMBER(M15),ISNUMBER(N15),M15&gt;0),N15/M15-1,IF(ISNUMBER('Source Data'!Q24),'Source Data'!Q24,"N/M"))</f>
        <v/>
      </c>
      <c r="R15" s="135" t="inlineStr">
        <is>
          <t>Raw calculation when available; otherwise provider fields Source Data O24:Q24.</t>
        </is>
      </c>
      <c r="S15" s="131">
        <f>IF(ISNUMBER('Source Data'!S24),'Source Data'!S24,J15)</f>
        <v/>
      </c>
      <c r="T15" s="131">
        <f>IF(ISNUMBER('Source Data'!T24),'Source Data'!T24,K15)</f>
        <v/>
      </c>
      <c r="U15" s="131">
        <f>IF(ISNUMBER('Source Data'!U24),'Source Data'!U24,L15)</f>
        <v/>
      </c>
      <c r="V15" s="134">
        <f>IF(ISNUMBER('Source Data'!V24),'Source Data'!V24,Q15)</f>
        <v/>
      </c>
      <c r="W15" s="133">
        <f>IF(AND(ISNUMBER(S15),ISNUMBER(T15),T15&gt;0),S15/T15,IF(AND(NOT(ISNUMBER('Source Data'!S24)),NOT(ISNUMBER('Source Data'!T24)),ISNUMBER(O15)),O15,"N/M"))</f>
        <v/>
      </c>
      <c r="X15" s="133">
        <f>IF(AND(ISNUMBER(S15),ISNUMBER(U15),U15&gt;0),S15/U15,IF(AND(NOT(ISNUMBER('Source Data'!S24)),NOT(ISNUMBER('Source Data'!U24)),ISNUMBER(P15)),P15,"N/M"))</f>
        <v/>
      </c>
      <c r="Y15" s="136">
        <f>IF(ISNUMBER(V15),V15,"N/M")</f>
        <v/>
      </c>
    </row>
    <row r="16" ht="26.85" customHeight="1" s="85">
      <c r="A16" s="114">
        <f>'Source Data'!A25</f>
        <v/>
      </c>
      <c r="B16" s="114">
        <f>'Source Data'!C25</f>
        <v/>
      </c>
      <c r="C16" s="114">
        <f>'Source Data'!D25</f>
        <v/>
      </c>
      <c r="D16" s="115">
        <f>'Source Data'!B25</f>
        <v/>
      </c>
      <c r="E16" s="114">
        <f>'Transaction Screening'!E16</f>
        <v/>
      </c>
      <c r="F16" s="114">
        <f>'Transaction Screening'!F16</f>
        <v/>
      </c>
      <c r="G16" s="131">
        <f>'Source Data'!E25</f>
        <v/>
      </c>
      <c r="H16" s="131">
        <f>'Source Data'!F25</f>
        <v/>
      </c>
      <c r="I16" s="131">
        <f>'Source Data'!G25</f>
        <v/>
      </c>
      <c r="J16" s="131">
        <f>IF(ISNUMBER('Source Data'!H25),'Source Data'!H25,IF(COUNT(G16:I16)=0,"N/M",SUM(G16:H16)-I16))</f>
        <v/>
      </c>
      <c r="K16" s="131">
        <f>'Source Data'!I25</f>
        <v/>
      </c>
      <c r="L16" s="131">
        <f>'Source Data'!J25</f>
        <v/>
      </c>
      <c r="M16" s="132">
        <f>'Source Data'!K25</f>
        <v/>
      </c>
      <c r="N16" s="132">
        <f>'Source Data'!L25</f>
        <v/>
      </c>
      <c r="O16" s="133">
        <f>IF(AND(ISNUMBER(J16),ISNUMBER(K16),K16&gt;0),J16/K16,IF(ISNUMBER('Source Data'!O25),'Source Data'!O25,"N/M"))</f>
        <v/>
      </c>
      <c r="P16" s="133">
        <f>IF(AND(ISNUMBER(J16),ISNUMBER(L16),L16&gt;0),J16/L16,IF(ISNUMBER('Source Data'!P25),'Source Data'!P25,"N/M"))</f>
        <v/>
      </c>
      <c r="Q16" s="134">
        <f>IF(AND(ISNUMBER(M16),ISNUMBER(N16),M16&gt;0),N16/M16-1,IF(ISNUMBER('Source Data'!Q25),'Source Data'!Q25,"N/M"))</f>
        <v/>
      </c>
      <c r="R16" s="135" t="inlineStr">
        <is>
          <t>Raw calculation when available; otherwise provider fields Source Data O25:Q25.</t>
        </is>
      </c>
      <c r="S16" s="131">
        <f>IF(ISNUMBER('Source Data'!S25),'Source Data'!S25,J16)</f>
        <v/>
      </c>
      <c r="T16" s="131">
        <f>IF(ISNUMBER('Source Data'!T25),'Source Data'!T25,K16)</f>
        <v/>
      </c>
      <c r="U16" s="131">
        <f>IF(ISNUMBER('Source Data'!U25),'Source Data'!U25,L16)</f>
        <v/>
      </c>
      <c r="V16" s="134">
        <f>IF(ISNUMBER('Source Data'!V25),'Source Data'!V25,Q16)</f>
        <v/>
      </c>
      <c r="W16" s="133">
        <f>IF(AND(ISNUMBER(S16),ISNUMBER(T16),T16&gt;0),S16/T16,IF(AND(NOT(ISNUMBER('Source Data'!S25)),NOT(ISNUMBER('Source Data'!T25)),ISNUMBER(O16)),O16,"N/M"))</f>
        <v/>
      </c>
      <c r="X16" s="133">
        <f>IF(AND(ISNUMBER(S16),ISNUMBER(U16),U16&gt;0),S16/U16,IF(AND(NOT(ISNUMBER('Source Data'!S25)),NOT(ISNUMBER('Source Data'!U25)),ISNUMBER(P16)),P16,"N/M"))</f>
        <v/>
      </c>
      <c r="Y16" s="136">
        <f>IF(ISNUMBER(V16),V16,"N/M")</f>
        <v/>
      </c>
    </row>
    <row r="17" ht="26.85" customHeight="1" s="85">
      <c r="A17" s="114">
        <f>'Source Data'!A26</f>
        <v/>
      </c>
      <c r="B17" s="114">
        <f>'Source Data'!C26</f>
        <v/>
      </c>
      <c r="C17" s="114">
        <f>'Source Data'!D26</f>
        <v/>
      </c>
      <c r="D17" s="115">
        <f>'Source Data'!B26</f>
        <v/>
      </c>
      <c r="E17" s="114">
        <f>'Transaction Screening'!E17</f>
        <v/>
      </c>
      <c r="F17" s="114">
        <f>'Transaction Screening'!F17</f>
        <v/>
      </c>
      <c r="G17" s="131">
        <f>'Source Data'!E26</f>
        <v/>
      </c>
      <c r="H17" s="131">
        <f>'Source Data'!F26</f>
        <v/>
      </c>
      <c r="I17" s="131">
        <f>'Source Data'!G26</f>
        <v/>
      </c>
      <c r="J17" s="131">
        <f>IF(ISNUMBER('Source Data'!H26),'Source Data'!H26,IF(COUNT(G17:I17)=0,"N/M",SUM(G17:H17)-I17))</f>
        <v/>
      </c>
      <c r="K17" s="131">
        <f>'Source Data'!I26</f>
        <v/>
      </c>
      <c r="L17" s="131">
        <f>'Source Data'!J26</f>
        <v/>
      </c>
      <c r="M17" s="132">
        <f>'Source Data'!K26</f>
        <v/>
      </c>
      <c r="N17" s="132">
        <f>'Source Data'!L26</f>
        <v/>
      </c>
      <c r="O17" s="133">
        <f>IF(AND(ISNUMBER(J17),ISNUMBER(K17),K17&gt;0),J17/K17,IF(ISNUMBER('Source Data'!O26),'Source Data'!O26,"N/M"))</f>
        <v/>
      </c>
      <c r="P17" s="133">
        <f>IF(AND(ISNUMBER(J17),ISNUMBER(L17),L17&gt;0),J17/L17,IF(ISNUMBER('Source Data'!P26),'Source Data'!P26,"N/M"))</f>
        <v/>
      </c>
      <c r="Q17" s="134">
        <f>IF(AND(ISNUMBER(M17),ISNUMBER(N17),M17&gt;0),N17/M17-1,IF(ISNUMBER('Source Data'!Q26),'Source Data'!Q26,"N/M"))</f>
        <v/>
      </c>
      <c r="R17" s="135" t="inlineStr">
        <is>
          <t>Raw calculation when available; otherwise provider fields Source Data O26:Q26.</t>
        </is>
      </c>
      <c r="S17" s="131">
        <f>IF(ISNUMBER('Source Data'!S26),'Source Data'!S26,J17)</f>
        <v/>
      </c>
      <c r="T17" s="131">
        <f>IF(ISNUMBER('Source Data'!T26),'Source Data'!T26,K17)</f>
        <v/>
      </c>
      <c r="U17" s="131">
        <f>IF(ISNUMBER('Source Data'!U26),'Source Data'!U26,L17)</f>
        <v/>
      </c>
      <c r="V17" s="134">
        <f>IF(ISNUMBER('Source Data'!V26),'Source Data'!V26,Q17)</f>
        <v/>
      </c>
      <c r="W17" s="133">
        <f>IF(AND(ISNUMBER(S17),ISNUMBER(T17),T17&gt;0),S17/T17,IF(AND(NOT(ISNUMBER('Source Data'!S26)),NOT(ISNUMBER('Source Data'!T26)),ISNUMBER(O17)),O17,"N/M"))</f>
        <v/>
      </c>
      <c r="X17" s="133">
        <f>IF(AND(ISNUMBER(S17),ISNUMBER(U17),U17&gt;0),S17/U17,IF(AND(NOT(ISNUMBER('Source Data'!S26)),NOT(ISNUMBER('Source Data'!U26)),ISNUMBER(P17)),P17,"N/M"))</f>
        <v/>
      </c>
      <c r="Y17" s="136">
        <f>IF(ISNUMBER(V17),V17,"N/M")</f>
        <v/>
      </c>
    </row>
    <row r="18"/>
    <row r="19"/>
    <row r="20" ht="18" customHeight="1" s="85">
      <c r="A20" s="88" t="inlineStr">
        <is>
          <t>Included transaction calculation helpers</t>
        </is>
      </c>
    </row>
    <row r="21" ht="28.5" customHeight="1" s="85">
      <c r="A21" s="97" t="inlineStr">
        <is>
          <t>Auto Deal</t>
        </is>
      </c>
      <c r="B21" s="97" t="inlineStr">
        <is>
          <t>EV / Revenue</t>
        </is>
      </c>
      <c r="C21" s="97" t="inlineStr">
        <is>
          <t>EV / EBITDA</t>
        </is>
      </c>
      <c r="D21" s="97" t="inlineStr">
        <is>
          <t>Premium</t>
        </is>
      </c>
      <c r="E21" s="97" t="n"/>
      <c r="F21" s="97" t="inlineStr">
        <is>
          <t>Student Deal</t>
        </is>
      </c>
      <c r="G21" s="97" t="inlineStr">
        <is>
          <t>EV / Revenue</t>
        </is>
      </c>
      <c r="H21" s="97" t="inlineStr">
        <is>
          <t>EV / EBITDA</t>
        </is>
      </c>
      <c r="I21" s="97" t="inlineStr">
        <is>
          <t>Premium</t>
        </is>
      </c>
    </row>
    <row r="22" ht="15" customHeight="1" s="85">
      <c r="A22" s="137">
        <f>IF(E6="Yes",B6,"Excluded")</f>
        <v/>
      </c>
      <c r="B22" s="127">
        <f>IF(AND(E6="Yes",ISNUMBER(O6),O6&gt;0),O6,"")</f>
        <v/>
      </c>
      <c r="C22" s="127">
        <f>IF(AND(E6="Yes",ISNUMBER(P6),P6&gt;0),P6,"")</f>
        <v/>
      </c>
      <c r="D22" s="136">
        <f>IF(AND(E6="Yes",ISNUMBER(Q6)),Q6,"")</f>
        <v/>
      </c>
      <c r="F22" s="137">
        <f>IF(F6="Yes",B6,"Excluded")</f>
        <v/>
      </c>
      <c r="G22" s="127">
        <f>IF(AND(F6="Yes",ISNUMBER(W6),W6&gt;0),W6,"")</f>
        <v/>
      </c>
      <c r="H22" s="127">
        <f>IF(AND(F6="Yes",ISNUMBER(X6),X6&gt;0),X6,"")</f>
        <v/>
      </c>
      <c r="I22" s="136">
        <f>IF(AND(F6="Yes",ISNUMBER(Y6)),Y6,"")</f>
        <v/>
      </c>
    </row>
    <row r="23" ht="15" customHeight="1" s="85">
      <c r="A23" s="137">
        <f>IF(E7="Yes",B7,"Excluded")</f>
        <v/>
      </c>
      <c r="B23" s="127">
        <f>IF(AND(E7="Yes",ISNUMBER(O7),O7&gt;0),O7,"")</f>
        <v/>
      </c>
      <c r="C23" s="127">
        <f>IF(AND(E7="Yes",ISNUMBER(P7),P7&gt;0),P7,"")</f>
        <v/>
      </c>
      <c r="D23" s="136">
        <f>IF(AND(E7="Yes",ISNUMBER(Q7)),Q7,"")</f>
        <v/>
      </c>
      <c r="F23" s="137">
        <f>IF(F7="Yes",B7,"Excluded")</f>
        <v/>
      </c>
      <c r="G23" s="127">
        <f>IF(AND(F7="Yes",ISNUMBER(W7),W7&gt;0),W7,"")</f>
        <v/>
      </c>
      <c r="H23" s="127">
        <f>IF(AND(F7="Yes",ISNUMBER(X7),X7&gt;0),X7,"")</f>
        <v/>
      </c>
      <c r="I23" s="136">
        <f>IF(AND(F7="Yes",ISNUMBER(Y7)),Y7,"")</f>
        <v/>
      </c>
    </row>
    <row r="24" ht="15" customHeight="1" s="85">
      <c r="A24" s="137">
        <f>IF(E8="Yes",B8,"Excluded")</f>
        <v/>
      </c>
      <c r="B24" s="127">
        <f>IF(AND(E8="Yes",ISNUMBER(O8),O8&gt;0),O8,"")</f>
        <v/>
      </c>
      <c r="C24" s="127">
        <f>IF(AND(E8="Yes",ISNUMBER(P8),P8&gt;0),P8,"")</f>
        <v/>
      </c>
      <c r="D24" s="136">
        <f>IF(AND(E8="Yes",ISNUMBER(Q8)),Q8,"")</f>
        <v/>
      </c>
      <c r="F24" s="137">
        <f>IF(F8="Yes",B8,"Excluded")</f>
        <v/>
      </c>
      <c r="G24" s="127">
        <f>IF(AND(F8="Yes",ISNUMBER(W8),W8&gt;0),W8,"")</f>
        <v/>
      </c>
      <c r="H24" s="127">
        <f>IF(AND(F8="Yes",ISNUMBER(X8),X8&gt;0),X8,"")</f>
        <v/>
      </c>
      <c r="I24" s="136">
        <f>IF(AND(F8="Yes",ISNUMBER(Y8)),Y8,"")</f>
        <v/>
      </c>
    </row>
    <row r="25" ht="15" customHeight="1" s="85">
      <c r="A25" s="137">
        <f>IF(E9="Yes",B9,"Excluded")</f>
        <v/>
      </c>
      <c r="B25" s="127">
        <f>IF(AND(E9="Yes",ISNUMBER(O9),O9&gt;0),O9,"")</f>
        <v/>
      </c>
      <c r="C25" s="127">
        <f>IF(AND(E9="Yes",ISNUMBER(P9),P9&gt;0),P9,"")</f>
        <v/>
      </c>
      <c r="D25" s="136">
        <f>IF(AND(E9="Yes",ISNUMBER(Q9)),Q9,"")</f>
        <v/>
      </c>
      <c r="F25" s="137">
        <f>IF(F9="Yes",B9,"Excluded")</f>
        <v/>
      </c>
      <c r="G25" s="127">
        <f>IF(AND(F9="Yes",ISNUMBER(W9),W9&gt;0),W9,"")</f>
        <v/>
      </c>
      <c r="H25" s="127">
        <f>IF(AND(F9="Yes",ISNUMBER(X9),X9&gt;0),X9,"")</f>
        <v/>
      </c>
      <c r="I25" s="136">
        <f>IF(AND(F9="Yes",ISNUMBER(Y9)),Y9,"")</f>
        <v/>
      </c>
    </row>
    <row r="26" ht="15" customHeight="1" s="85">
      <c r="A26" s="137">
        <f>IF(E10="Yes",B10,"Excluded")</f>
        <v/>
      </c>
      <c r="B26" s="127">
        <f>IF(AND(E10="Yes",ISNUMBER(O10),O10&gt;0),O10,"")</f>
        <v/>
      </c>
      <c r="C26" s="127">
        <f>IF(AND(E10="Yes",ISNUMBER(P10),P10&gt;0),P10,"")</f>
        <v/>
      </c>
      <c r="D26" s="136">
        <f>IF(AND(E10="Yes",ISNUMBER(Q10)),Q10,"")</f>
        <v/>
      </c>
      <c r="F26" s="137">
        <f>IF(F10="Yes",B10,"Excluded")</f>
        <v/>
      </c>
      <c r="G26" s="127">
        <f>IF(AND(F10="Yes",ISNUMBER(W10),W10&gt;0),W10,"")</f>
        <v/>
      </c>
      <c r="H26" s="127">
        <f>IF(AND(F10="Yes",ISNUMBER(X10),X10&gt;0),X10,"")</f>
        <v/>
      </c>
      <c r="I26" s="136">
        <f>IF(AND(F10="Yes",ISNUMBER(Y10)),Y10,"")</f>
        <v/>
      </c>
    </row>
    <row r="27" ht="15" customHeight="1" s="85">
      <c r="A27" s="137">
        <f>IF(E11="Yes",B11,"Excluded")</f>
        <v/>
      </c>
      <c r="B27" s="127">
        <f>IF(AND(E11="Yes",ISNUMBER(O11),O11&gt;0),O11,"")</f>
        <v/>
      </c>
      <c r="C27" s="127">
        <f>IF(AND(E11="Yes",ISNUMBER(P11),P11&gt;0),P11,"")</f>
        <v/>
      </c>
      <c r="D27" s="136">
        <f>IF(AND(E11="Yes",ISNUMBER(Q11)),Q11,"")</f>
        <v/>
      </c>
      <c r="F27" s="137">
        <f>IF(F11="Yes",B11,"Excluded")</f>
        <v/>
      </c>
      <c r="G27" s="127">
        <f>IF(AND(F11="Yes",ISNUMBER(W11),W11&gt;0),W11,"")</f>
        <v/>
      </c>
      <c r="H27" s="127">
        <f>IF(AND(F11="Yes",ISNUMBER(X11),X11&gt;0),X11,"")</f>
        <v/>
      </c>
      <c r="I27" s="136">
        <f>IF(AND(F11="Yes",ISNUMBER(Y11)),Y11,"")</f>
        <v/>
      </c>
    </row>
    <row r="28" ht="15" customHeight="1" s="85">
      <c r="A28" s="137">
        <f>IF(E12="Yes",B12,"Excluded")</f>
        <v/>
      </c>
      <c r="B28" s="127">
        <f>IF(AND(E12="Yes",ISNUMBER(O12),O12&gt;0),O12,"")</f>
        <v/>
      </c>
      <c r="C28" s="127">
        <f>IF(AND(E12="Yes",ISNUMBER(P12),P12&gt;0),P12,"")</f>
        <v/>
      </c>
      <c r="D28" s="136">
        <f>IF(AND(E12="Yes",ISNUMBER(Q12)),Q12,"")</f>
        <v/>
      </c>
      <c r="F28" s="137">
        <f>IF(F12="Yes",B12,"Excluded")</f>
        <v/>
      </c>
      <c r="G28" s="127">
        <f>IF(AND(F12="Yes",ISNUMBER(W12),W12&gt;0),W12,"")</f>
        <v/>
      </c>
      <c r="H28" s="127">
        <f>IF(AND(F12="Yes",ISNUMBER(X12),X12&gt;0),X12,"")</f>
        <v/>
      </c>
      <c r="I28" s="136">
        <f>IF(AND(F12="Yes",ISNUMBER(Y12)),Y12,"")</f>
        <v/>
      </c>
    </row>
    <row r="29" ht="15" customHeight="1" s="85">
      <c r="A29" s="137">
        <f>IF(E13="Yes",B13,"Excluded")</f>
        <v/>
      </c>
      <c r="B29" s="127">
        <f>IF(AND(E13="Yes",ISNUMBER(O13),O13&gt;0),O13,"")</f>
        <v/>
      </c>
      <c r="C29" s="127">
        <f>IF(AND(E13="Yes",ISNUMBER(P13),P13&gt;0),P13,"")</f>
        <v/>
      </c>
      <c r="D29" s="136">
        <f>IF(AND(E13="Yes",ISNUMBER(Q13)),Q13,"")</f>
        <v/>
      </c>
      <c r="F29" s="137">
        <f>IF(F13="Yes",B13,"Excluded")</f>
        <v/>
      </c>
      <c r="G29" s="127">
        <f>IF(AND(F13="Yes",ISNUMBER(W13),W13&gt;0),W13,"")</f>
        <v/>
      </c>
      <c r="H29" s="127">
        <f>IF(AND(F13="Yes",ISNUMBER(X13),X13&gt;0),X13,"")</f>
        <v/>
      </c>
      <c r="I29" s="136">
        <f>IF(AND(F13="Yes",ISNUMBER(Y13)),Y13,"")</f>
        <v/>
      </c>
    </row>
    <row r="30" ht="15" customHeight="1" s="85">
      <c r="A30" s="137">
        <f>IF(E14="Yes",B14,"Excluded")</f>
        <v/>
      </c>
      <c r="B30" s="127">
        <f>IF(AND(E14="Yes",ISNUMBER(O14),O14&gt;0),O14,"")</f>
        <v/>
      </c>
      <c r="C30" s="127">
        <f>IF(AND(E14="Yes",ISNUMBER(P14),P14&gt;0),P14,"")</f>
        <v/>
      </c>
      <c r="D30" s="136">
        <f>IF(AND(E14="Yes",ISNUMBER(Q14)),Q14,"")</f>
        <v/>
      </c>
      <c r="F30" s="137">
        <f>IF(F14="Yes",B14,"Excluded")</f>
        <v/>
      </c>
      <c r="G30" s="127">
        <f>IF(AND(F14="Yes",ISNUMBER(W14),W14&gt;0),W14,"")</f>
        <v/>
      </c>
      <c r="H30" s="127">
        <f>IF(AND(F14="Yes",ISNUMBER(X14),X14&gt;0),X14,"")</f>
        <v/>
      </c>
      <c r="I30" s="136">
        <f>IF(AND(F14="Yes",ISNUMBER(Y14)),Y14,"")</f>
        <v/>
      </c>
    </row>
    <row r="31" ht="15" customHeight="1" s="85">
      <c r="A31" s="137">
        <f>IF(E15="Yes",B15,"Excluded")</f>
        <v/>
      </c>
      <c r="B31" s="127">
        <f>IF(AND(E15="Yes",ISNUMBER(O15),O15&gt;0),O15,"")</f>
        <v/>
      </c>
      <c r="C31" s="127">
        <f>IF(AND(E15="Yes",ISNUMBER(P15),P15&gt;0),P15,"")</f>
        <v/>
      </c>
      <c r="D31" s="136">
        <f>IF(AND(E15="Yes",ISNUMBER(Q15)),Q15,"")</f>
        <v/>
      </c>
      <c r="F31" s="137">
        <f>IF(F15="Yes",B15,"Excluded")</f>
        <v/>
      </c>
      <c r="G31" s="127">
        <f>IF(AND(F15="Yes",ISNUMBER(W15),W15&gt;0),W15,"")</f>
        <v/>
      </c>
      <c r="H31" s="127">
        <f>IF(AND(F15="Yes",ISNUMBER(X15),X15&gt;0),X15,"")</f>
        <v/>
      </c>
      <c r="I31" s="136">
        <f>IF(AND(F15="Yes",ISNUMBER(Y15)),Y15,"")</f>
        <v/>
      </c>
    </row>
    <row r="32" ht="15" customHeight="1" s="85">
      <c r="A32" s="137">
        <f>IF(E16="Yes",B16,"Excluded")</f>
        <v/>
      </c>
      <c r="B32" s="127">
        <f>IF(AND(E16="Yes",ISNUMBER(O16),O16&gt;0),O16,"")</f>
        <v/>
      </c>
      <c r="C32" s="127">
        <f>IF(AND(E16="Yes",ISNUMBER(P16),P16&gt;0),P16,"")</f>
        <v/>
      </c>
      <c r="D32" s="136">
        <f>IF(AND(E16="Yes",ISNUMBER(Q16)),Q16,"")</f>
        <v/>
      </c>
      <c r="F32" s="137">
        <f>IF(F16="Yes",B16,"Excluded")</f>
        <v/>
      </c>
      <c r="G32" s="127">
        <f>IF(AND(F16="Yes",ISNUMBER(W16),W16&gt;0),W16,"")</f>
        <v/>
      </c>
      <c r="H32" s="127">
        <f>IF(AND(F16="Yes",ISNUMBER(X16),X16&gt;0),X16,"")</f>
        <v/>
      </c>
      <c r="I32" s="136">
        <f>IF(AND(F16="Yes",ISNUMBER(Y16)),Y16,"")</f>
        <v/>
      </c>
    </row>
    <row r="33" ht="15" customHeight="1" s="85">
      <c r="A33" s="137">
        <f>IF(E17="Yes",B17,"Excluded")</f>
        <v/>
      </c>
      <c r="B33" s="127">
        <f>IF(AND(E17="Yes",ISNUMBER(O17),O17&gt;0),O17,"")</f>
        <v/>
      </c>
      <c r="C33" s="127">
        <f>IF(AND(E17="Yes",ISNUMBER(P17),P17&gt;0),P17,"")</f>
        <v/>
      </c>
      <c r="D33" s="136">
        <f>IF(AND(E17="Yes",ISNUMBER(Q17)),Q17,"")</f>
        <v/>
      </c>
      <c r="F33" s="137">
        <f>IF(F17="Yes",B17,"Excluded")</f>
        <v/>
      </c>
      <c r="G33" s="127">
        <f>IF(AND(F17="Yes",ISNUMBER(W17),W17&gt;0),W17,"")</f>
        <v/>
      </c>
      <c r="H33" s="127">
        <f>IF(AND(F17="Yes",ISNUMBER(X17),X17&gt;0),X17,"")</f>
        <v/>
      </c>
      <c r="I33" s="136">
        <f>IF(AND(F17="Yes",ISNUMBER(Y17)),Y17,"")</f>
        <v/>
      </c>
    </row>
    <row r="34"/>
    <row r="35"/>
    <row r="36" ht="18" customHeight="1" s="85">
      <c r="A36" s="88" t="inlineStr">
        <is>
          <t>Precedent transaction statistics</t>
        </is>
      </c>
    </row>
    <row r="37" ht="28.5" customHeight="1" s="85">
      <c r="A37" s="97" t="inlineStr">
        <is>
          <t>Metric</t>
        </is>
      </c>
      <c r="B37" s="97" t="inlineStr">
        <is>
          <t>Auto 25th</t>
        </is>
      </c>
      <c r="C37" s="97" t="inlineStr">
        <is>
          <t>Auto Median</t>
        </is>
      </c>
      <c r="D37" s="97" t="inlineStr">
        <is>
          <t>Auto Mean</t>
        </is>
      </c>
      <c r="E37" s="97" t="inlineStr">
        <is>
          <t>Auto 75th</t>
        </is>
      </c>
      <c r="F37" s="97" t="inlineStr">
        <is>
          <t>Student 25th</t>
        </is>
      </c>
      <c r="G37" s="97" t="inlineStr">
        <is>
          <t>Student Median</t>
        </is>
      </c>
      <c r="H37" s="97" t="inlineStr">
        <is>
          <t>Student Mean</t>
        </is>
      </c>
      <c r="I37" s="97" t="inlineStr">
        <is>
          <t>Student 75th</t>
        </is>
      </c>
    </row>
    <row r="38" ht="15" customHeight="1" s="85">
      <c r="A38" s="90" t="inlineStr">
        <is>
          <t>EV / Revenue</t>
        </is>
      </c>
      <c r="B38" s="127">
        <f>IFERROR(PERCENTILE(B22:B33,0.25),"N/M")</f>
        <v/>
      </c>
      <c r="C38" s="127">
        <f>IFERROR(MEDIAN(B22:B33),"N/M")</f>
        <v/>
      </c>
      <c r="D38" s="127">
        <f>IFERROR(AVERAGE(B22:B33),"N/M")</f>
        <v/>
      </c>
      <c r="E38" s="127">
        <f>IFERROR(PERCENTILE(B22:B33,0.75),"N/M")</f>
        <v/>
      </c>
      <c r="F38" s="127">
        <f>IFERROR(PERCENTILE(G22:G33,0.25),"N/M")</f>
        <v/>
      </c>
      <c r="G38" s="127">
        <f>IFERROR(MEDIAN(G22:G33),"N/M")</f>
        <v/>
      </c>
      <c r="H38" s="127">
        <f>IFERROR(AVERAGE(G22:G33),"N/M")</f>
        <v/>
      </c>
      <c r="I38" s="127">
        <f>IFERROR(PERCENTILE(G22:G33,0.75),"N/M")</f>
        <v/>
      </c>
    </row>
    <row r="39" ht="15" customHeight="1" s="85">
      <c r="A39" s="90" t="inlineStr">
        <is>
          <t>EV / EBITDA</t>
        </is>
      </c>
      <c r="B39" s="127">
        <f>IFERROR(PERCENTILE(C22:C33,0.25),"N/M")</f>
        <v/>
      </c>
      <c r="C39" s="127">
        <f>IFERROR(MEDIAN(C22:C33),"N/M")</f>
        <v/>
      </c>
      <c r="D39" s="127">
        <f>IFERROR(AVERAGE(C22:C33),"N/M")</f>
        <v/>
      </c>
      <c r="E39" s="127">
        <f>IFERROR(PERCENTILE(C22:C33,0.75),"N/M")</f>
        <v/>
      </c>
      <c r="F39" s="127">
        <f>IFERROR(PERCENTILE(H22:H33,0.25),"N/M")</f>
        <v/>
      </c>
      <c r="G39" s="127">
        <f>IFERROR(MEDIAN(H22:H33),"N/M")</f>
        <v/>
      </c>
      <c r="H39" s="127">
        <f>IFERROR(AVERAGE(H22:H33),"N/M")</f>
        <v/>
      </c>
      <c r="I39" s="127">
        <f>IFERROR(PERCENTILE(H22:H33,0.75),"N/M")</f>
        <v/>
      </c>
    </row>
    <row r="40" ht="15" customHeight="1" s="85">
      <c r="A40" s="90" t="inlineStr">
        <is>
          <t>Premium</t>
        </is>
      </c>
      <c r="B40" s="136">
        <f>IFERROR(PERCENTILE(D22:D33,0.25),"N/M")</f>
        <v/>
      </c>
      <c r="C40" s="136">
        <f>IFERROR(MEDIAN(D22:D33),"N/M")</f>
        <v/>
      </c>
      <c r="D40" s="136">
        <f>IFERROR(AVERAGE(D22:D33),"N/M")</f>
        <v/>
      </c>
      <c r="E40" s="136">
        <f>IFERROR(PERCENTILE(D22:D33,0.75),"N/M")</f>
        <v/>
      </c>
      <c r="F40" s="136">
        <f>IFERROR(PERCENTILE(I22:I33,0.25),"N/M")</f>
        <v/>
      </c>
      <c r="G40" s="136">
        <f>IFERROR(MEDIAN(I22:I33),"N/M")</f>
        <v/>
      </c>
      <c r="H40" s="136">
        <f>IFERROR(AVERAGE(I22:I33),"N/M")</f>
        <v/>
      </c>
      <c r="I40" s="136">
        <f>IFERROR(PERCENTILE(I22:I33,0.75),"N/M")</f>
        <v/>
      </c>
    </row>
  </sheetData>
  <mergeCells count="4">
    <mergeCell ref="A36:I36"/>
    <mergeCell ref="A20:I20"/>
    <mergeCell ref="A2:Y2"/>
    <mergeCell ref="A1:Y1"/>
  </mergeCells>
  <printOptions horizontalCentered="0" verticalCentered="0" headings="0" gridLines="0" gridLinesSet="1"/>
  <pageMargins left="0.75" right="0.75" top="1" bottom="1" header="0.511811023622047" footer="0.5"/>
  <pageSetup orientation="landscape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filterMode="0">
    <tabColor rgb="FF8064A2"/>
    <outlinePr summaryBelow="1" summaryRight="1"/>
    <pageSetUpPr fitToPage="1"/>
  </sheetPr>
  <dimension ref="A1:N39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27" customWidth="1" style="84" min="1" max="1"/>
    <col width="14" customWidth="1" style="84" min="2" max="13"/>
    <col width="50" customWidth="1" style="84" min="14" max="14"/>
  </cols>
  <sheetData>
    <row r="1" ht="27" customHeight="1" s="85">
      <c r="A1" s="86" t="inlineStr">
        <is>
          <t>Step IV. Benchmark the Comparable Acquisitions</t>
        </is>
      </c>
    </row>
    <row r="2" ht="25.5" customHeight="1" s="85">
      <c r="A2" s="87" t="inlineStr">
        <is>
          <t>Completed analyst benchmarking and the student template compare deal size, profitability, age, and transaction-multiple dispersion before valuation.</t>
        </is>
      </c>
    </row>
    <row r="3"/>
    <row r="4" ht="18" customHeight="1" s="85">
      <c r="A4" s="88" t="inlineStr">
        <is>
          <t>AI Valuation (left) | Student Template (right)</t>
        </is>
      </c>
    </row>
    <row r="5" ht="28.5" customHeight="1" s="85">
      <c r="A5" s="97" t="inlineStr">
        <is>
          <t>Deal Metric</t>
        </is>
      </c>
      <c r="B5" s="97" t="inlineStr">
        <is>
          <t>Target / Reference</t>
        </is>
      </c>
      <c r="C5" s="97" t="inlineStr">
        <is>
          <t>Code 25th</t>
        </is>
      </c>
      <c r="D5" s="97" t="inlineStr">
        <is>
          <t>Code Median</t>
        </is>
      </c>
      <c r="E5" s="97" t="inlineStr">
        <is>
          <t>Code Mean</t>
        </is>
      </c>
      <c r="F5" s="97" t="inlineStr">
        <is>
          <t>Code 75th</t>
        </is>
      </c>
      <c r="G5" s="97" t="inlineStr">
        <is>
          <t>Target vs Median</t>
        </is>
      </c>
      <c r="H5" s="97" t="inlineStr">
        <is>
          <t>Student Target</t>
        </is>
      </c>
      <c r="I5" s="97" t="inlineStr">
        <is>
          <t>Student 25th</t>
        </is>
      </c>
      <c r="J5" s="97" t="inlineStr">
        <is>
          <t>Student Median</t>
        </is>
      </c>
      <c r="K5" s="97" t="inlineStr">
        <is>
          <t>Student Mean</t>
        </is>
      </c>
      <c r="L5" s="97" t="inlineStr">
        <is>
          <t>Student 75th</t>
        </is>
      </c>
      <c r="M5" s="97" t="inlineStr">
        <is>
          <t>Student vs Median</t>
        </is>
      </c>
      <c r="N5" s="97" t="inlineStr">
        <is>
          <t>Teaching Interpretation</t>
        </is>
      </c>
    </row>
    <row r="6" ht="26.85" customHeight="1" s="85">
      <c r="A6" s="90" t="inlineStr">
        <is>
          <t>Transaction Enterprise Value</t>
        </is>
      </c>
      <c r="B6" s="120">
        <f>"N/M"</f>
        <v/>
      </c>
      <c r="C6" s="120">
        <f>IFERROR(PERCENTILE(C28:C39,0.25),"N/M")</f>
        <v/>
      </c>
      <c r="D6" s="120">
        <f>IFERROR(MEDIAN(C28:C39),"N/M")</f>
        <v/>
      </c>
      <c r="E6" s="120">
        <f>IFERROR(AVERAGE(C28:C39),"N/M")</f>
        <v/>
      </c>
      <c r="F6" s="120">
        <f>IFERROR(PERCENTILE(C28:C39,0.75),"N/M")</f>
        <v/>
      </c>
      <c r="G6" s="136">
        <f>IF(AND(ISNUMBER(B6),ISNUMBER(D6),D6&lt;&gt;0),B6/D6-1,"N/M")</f>
        <v/>
      </c>
      <c r="H6" s="120">
        <f>"N/M"</f>
        <v/>
      </c>
      <c r="I6" s="120">
        <f>IFERROR(PERCENTILE(J28:J39,0.25),"N/M")</f>
        <v/>
      </c>
      <c r="J6" s="120">
        <f>IFERROR(MEDIAN(J28:J39),"N/M")</f>
        <v/>
      </c>
      <c r="K6" s="120">
        <f>IFERROR(AVERAGE(J28:J39),"N/M")</f>
        <v/>
      </c>
      <c r="L6" s="120">
        <f>IFERROR(PERCENTILE(J28:J39,0.75),"N/M")</f>
        <v/>
      </c>
      <c r="M6" s="136">
        <f>IF(AND(ISNUMBER(H6),ISNUMBER(J6),J6&lt;&gt;0),H6/J6-1,"N/M")</f>
        <v/>
      </c>
      <c r="N6" s="118" t="inlineStr">
        <is>
          <t>Deal size is a context benchmark; it is not itself a valuation multiple.</t>
        </is>
      </c>
    </row>
    <row r="7" ht="26.85" customHeight="1" s="85">
      <c r="A7" s="90" t="inlineStr">
        <is>
          <t>Target / Deal Revenue</t>
        </is>
      </c>
      <c r="B7" s="131">
        <f>Assumptions!B8</f>
        <v/>
      </c>
      <c r="C7" s="120">
        <f>IFERROR(PERCENTILE(D28:D39,0.25),"N/M")</f>
        <v/>
      </c>
      <c r="D7" s="120">
        <f>IFERROR(MEDIAN(D28:D39),"N/M")</f>
        <v/>
      </c>
      <c r="E7" s="120">
        <f>IFERROR(AVERAGE(D28:D39),"N/M")</f>
        <v/>
      </c>
      <c r="F7" s="120">
        <f>IFERROR(PERCENTILE(D28:D39,0.75),"N/M")</f>
        <v/>
      </c>
      <c r="G7" s="136">
        <f>IF(AND(ISNUMBER(B7),ISNUMBER(D7),D7&lt;&gt;0),B7/D7-1,"N/M")</f>
        <v/>
      </c>
      <c r="H7" s="131">
        <f>Assumptions!C8</f>
        <v/>
      </c>
      <c r="I7" s="120">
        <f>IFERROR(PERCENTILE(K28:K39,0.25),"N/M")</f>
        <v/>
      </c>
      <c r="J7" s="120">
        <f>IFERROR(MEDIAN(K28:K39),"N/M")</f>
        <v/>
      </c>
      <c r="K7" s="120">
        <f>IFERROR(AVERAGE(K28:K39),"N/M")</f>
        <v/>
      </c>
      <c r="L7" s="120">
        <f>IFERROR(PERCENTILE(K28:K39,0.75),"N/M")</f>
        <v/>
      </c>
      <c r="M7" s="136">
        <f>IF(AND(ISNUMBER(H7),ISNUMBER(J7),J7&lt;&gt;0),H7/J7-1,"N/M")</f>
        <v/>
      </c>
      <c r="N7" s="118" t="inlineStr">
        <is>
          <t>Compare target scale with the revenue bases used in the precedent sample.</t>
        </is>
      </c>
    </row>
    <row r="8" ht="26.85" customHeight="1" s="85">
      <c r="A8" s="90" t="inlineStr">
        <is>
          <t>EBITDA Margin</t>
        </is>
      </c>
      <c r="B8" s="134">
        <f>IFERROR(Assumptions!B9/Assumptions!B8,"N/M")</f>
        <v/>
      </c>
      <c r="C8" s="136">
        <f>IFERROR(PERCENTILE(E28:E39,0.25),"N/M")</f>
        <v/>
      </c>
      <c r="D8" s="136">
        <f>IFERROR(MEDIAN(E28:E39),"N/M")</f>
        <v/>
      </c>
      <c r="E8" s="136">
        <f>IFERROR(AVERAGE(E28:E39),"N/M")</f>
        <v/>
      </c>
      <c r="F8" s="136">
        <f>IFERROR(PERCENTILE(E28:E39,0.75),"N/M")</f>
        <v/>
      </c>
      <c r="G8" s="136">
        <f>IF(AND(ISNUMBER(B8),ISNUMBER(D8),D8&lt;&gt;0),B8/D8-1,"N/M")</f>
        <v/>
      </c>
      <c r="H8" s="134">
        <f>IFERROR(Assumptions!C9/Assumptions!C8,"N/M")</f>
        <v/>
      </c>
      <c r="I8" s="136">
        <f>IFERROR(PERCENTILE(L28:L39,0.25),"N/M")</f>
        <v/>
      </c>
      <c r="J8" s="136">
        <f>IFERROR(MEDIAN(L28:L39),"N/M")</f>
        <v/>
      </c>
      <c r="K8" s="136">
        <f>IFERROR(AVERAGE(L28:L39),"N/M")</f>
        <v/>
      </c>
      <c r="L8" s="136">
        <f>IFERROR(PERCENTILE(L28:L39,0.75),"N/M")</f>
        <v/>
      </c>
      <c r="M8" s="136">
        <f>IF(AND(ISNUMBER(H8),ISNUMBER(J8),J8&lt;&gt;0),H8/J8-1,"N/M")</f>
        <v/>
      </c>
      <c r="N8" s="118" t="inlineStr">
        <is>
          <t>A margin gap can make the raw transaction multiple less transferable.</t>
        </is>
      </c>
    </row>
    <row r="9" ht="26.85" customHeight="1" s="85">
      <c r="A9" s="90" t="inlineStr">
        <is>
          <t>Deal Age</t>
        </is>
      </c>
      <c r="B9" s="138">
        <f>"N/M"</f>
        <v/>
      </c>
      <c r="C9" s="138">
        <f>IFERROR(PERCENTILE(F28:F39,0.25),"N/M")</f>
        <v/>
      </c>
      <c r="D9" s="138">
        <f>IFERROR(MEDIAN(F28:F39),"N/M")</f>
        <v/>
      </c>
      <c r="E9" s="138">
        <f>IFERROR(AVERAGE(F28:F39),"N/M")</f>
        <v/>
      </c>
      <c r="F9" s="138">
        <f>IFERROR(PERCENTILE(F28:F39,0.75),"N/M")</f>
        <v/>
      </c>
      <c r="G9" s="136">
        <f>IF(AND(ISNUMBER(B9),ISNUMBER(D9),D9&lt;&gt;0),B9/D9-1,"N/M")</f>
        <v/>
      </c>
      <c r="H9" s="138">
        <f>"N/M"</f>
        <v/>
      </c>
      <c r="I9" s="138">
        <f>IFERROR(PERCENTILE(M28:M39,0.25),"N/M")</f>
        <v/>
      </c>
      <c r="J9" s="138">
        <f>IFERROR(MEDIAN(M28:M39),"N/M")</f>
        <v/>
      </c>
      <c r="K9" s="138">
        <f>IFERROR(AVERAGE(M28:M39),"N/M")</f>
        <v/>
      </c>
      <c r="L9" s="138">
        <f>IFERROR(PERCENTILE(M28:M39,0.75),"N/M")</f>
        <v/>
      </c>
      <c r="M9" s="136">
        <f>IF(AND(ISNUMBER(H9),ISNUMBER(J9),J9&lt;&gt;0),H9/J9-1,"N/M")</f>
        <v/>
      </c>
      <c r="N9" s="118" t="inlineStr">
        <is>
          <t>Older deals may reflect a different market, financing, and regulatory regime.</t>
        </is>
      </c>
    </row>
    <row r="10" ht="39.55" customHeight="1" s="85">
      <c r="A10" s="90" t="inlineStr">
        <is>
          <t>Acquisition Premium</t>
        </is>
      </c>
      <c r="B10" s="136">
        <f>"N/M"</f>
        <v/>
      </c>
      <c r="C10" s="136">
        <f>IFERROR(PERCENTILE(G28:G39,0.25),"N/M")</f>
        <v/>
      </c>
      <c r="D10" s="136">
        <f>IFERROR(MEDIAN(G28:G39),"N/M")</f>
        <v/>
      </c>
      <c r="E10" s="136">
        <f>IFERROR(AVERAGE(G28:G39),"N/M")</f>
        <v/>
      </c>
      <c r="F10" s="136">
        <f>IFERROR(PERCENTILE(G28:G39,0.75),"N/M")</f>
        <v/>
      </c>
      <c r="G10" s="136">
        <f>IF(AND(ISNUMBER(B10),ISNUMBER(D10),D10&lt;&gt;0),B10/D10-1,"N/M")</f>
        <v/>
      </c>
      <c r="H10" s="136">
        <f>"N/M"</f>
        <v/>
      </c>
      <c r="I10" s="136">
        <f>IFERROR(PERCENTILE(N28:N39,0.25),"N/M")</f>
        <v/>
      </c>
      <c r="J10" s="136">
        <f>IFERROR(MEDIAN(N28:N39),"N/M")</f>
        <v/>
      </c>
      <c r="K10" s="136">
        <f>IFERROR(AVERAGE(N28:N39),"N/M")</f>
        <v/>
      </c>
      <c r="L10" s="136">
        <f>IFERROR(PERCENTILE(N28:N39,0.75),"N/M")</f>
        <v/>
      </c>
      <c r="M10" s="136">
        <f>IF(AND(ISNUMBER(H10),ISNUMBER(J10),J10&lt;&gt;0),H10/J10-1,"N/M")</f>
        <v/>
      </c>
      <c r="N10" s="118" t="inlineStr">
        <is>
          <t>Premium evidence is meaningful only when unaffected prices and control contexts are comparable.</t>
        </is>
      </c>
    </row>
    <row r="11"/>
    <row r="12"/>
    <row r="13" ht="18" customHeight="1" s="85">
      <c r="A13" s="88" t="inlineStr">
        <is>
          <t>Transaction-multiple benchmark and selected statistic</t>
        </is>
      </c>
    </row>
    <row r="14" ht="28.5" customHeight="1" s="85">
      <c r="A14" s="97" t="inlineStr">
        <is>
          <t>Metric</t>
        </is>
      </c>
      <c r="B14" s="97" t="inlineStr">
        <is>
          <t>Code 25th</t>
        </is>
      </c>
      <c r="C14" s="97" t="inlineStr">
        <is>
          <t>Code Median</t>
        </is>
      </c>
      <c r="D14" s="97" t="inlineStr">
        <is>
          <t>Code Mean</t>
        </is>
      </c>
      <c r="E14" s="97" t="inlineStr">
        <is>
          <t>Code 75th</t>
        </is>
      </c>
      <c r="F14" s="97" t="inlineStr">
        <is>
          <t>Code Selected</t>
        </is>
      </c>
      <c r="G14" s="97" t="inlineStr">
        <is>
          <t>Student 25th</t>
        </is>
      </c>
      <c r="H14" s="97" t="inlineStr">
        <is>
          <t>Student Median</t>
        </is>
      </c>
      <c r="I14" s="97" t="inlineStr">
        <is>
          <t>Student Mean</t>
        </is>
      </c>
      <c r="J14" s="97" t="inlineStr">
        <is>
          <t>Student 75th</t>
        </is>
      </c>
      <c r="K14" s="97" t="inlineStr">
        <is>
          <t>Student Selected</t>
        </is>
      </c>
      <c r="L14" s="97" t="inlineStr">
        <is>
          <t>Code Obs.</t>
        </is>
      </c>
      <c r="M14" s="97" t="inlineStr">
        <is>
          <t>Student Obs.</t>
        </is>
      </c>
      <c r="N14" s="97" t="inlineStr">
        <is>
          <t>Interpretation</t>
        </is>
      </c>
    </row>
    <row r="15" ht="39.55" customHeight="1" s="85">
      <c r="A15" s="90" t="inlineStr">
        <is>
          <t>EV / Revenue</t>
        </is>
      </c>
      <c r="B15" s="133">
        <f>'Precedent Transactions'!B38</f>
        <v/>
      </c>
      <c r="C15" s="133">
        <f>'Precedent Transactions'!C38</f>
        <v/>
      </c>
      <c r="D15" s="133">
        <f>'Precedent Transactions'!D38</f>
        <v/>
      </c>
      <c r="E15" s="133">
        <f>'Precedent Transactions'!E38</f>
        <v/>
      </c>
      <c r="F15" s="133">
        <f>IFERROR(IF(Assumptions!$B$5="25th Percentile",'Precedent Transactions'!$B$38,IF(Assumptions!$B$5="Mean",'Precedent Transactions'!$D$38,IF(Assumptions!$B$5="75th Percentile",'Precedent Transactions'!$E$38,'Precedent Transactions'!$C$38))),"N/M")</f>
        <v/>
      </c>
      <c r="G15" s="133">
        <f>'Precedent Transactions'!F38</f>
        <v/>
      </c>
      <c r="H15" s="133">
        <f>'Precedent Transactions'!G38</f>
        <v/>
      </c>
      <c r="I15" s="133">
        <f>'Precedent Transactions'!H38</f>
        <v/>
      </c>
      <c r="J15" s="133">
        <f>'Precedent Transactions'!I38</f>
        <v/>
      </c>
      <c r="K15" s="133">
        <f>IFERROR(IF(Assumptions!$C$5="25th Percentile",'Precedent Transactions'!$F$38,IF(Assumptions!$C$5="Mean",'Precedent Transactions'!$H$38,IF(Assumptions!$C$5="75th Percentile",'Precedent Transactions'!$I$38,'Precedent Transactions'!$G$38))),"N/M")</f>
        <v/>
      </c>
      <c r="L15" s="139">
        <f>COUNT('Precedent Transactions'!B22:B33)</f>
        <v/>
      </c>
      <c r="M15" s="139">
        <f>COUNT('Precedent Transactions'!G22:G33)</f>
        <v/>
      </c>
      <c r="N15" s="135" t="inlineStr">
        <is>
          <t>A selected metric needs the minimum observation count in Assumptions; otherwise its effective valuation weight is zero.</t>
        </is>
      </c>
    </row>
    <row r="16" ht="39.55" customHeight="1" s="85">
      <c r="A16" s="90" t="inlineStr">
        <is>
          <t>EV / EBITDA</t>
        </is>
      </c>
      <c r="B16" s="133">
        <f>'Precedent Transactions'!B39</f>
        <v/>
      </c>
      <c r="C16" s="133">
        <f>'Precedent Transactions'!C39</f>
        <v/>
      </c>
      <c r="D16" s="133">
        <f>'Precedent Transactions'!D39</f>
        <v/>
      </c>
      <c r="E16" s="133">
        <f>'Precedent Transactions'!E39</f>
        <v/>
      </c>
      <c r="F16" s="133">
        <f>IFERROR(IF(Assumptions!$B$5="25th Percentile",'Precedent Transactions'!$B$39,IF(Assumptions!$B$5="Mean",'Precedent Transactions'!$D$39,IF(Assumptions!$B$5="75th Percentile",'Precedent Transactions'!$E$39,'Precedent Transactions'!$C$39))),"N/M")</f>
        <v/>
      </c>
      <c r="G16" s="133">
        <f>'Precedent Transactions'!F39</f>
        <v/>
      </c>
      <c r="H16" s="133">
        <f>'Precedent Transactions'!G39</f>
        <v/>
      </c>
      <c r="I16" s="133">
        <f>'Precedent Transactions'!H39</f>
        <v/>
      </c>
      <c r="J16" s="133">
        <f>'Precedent Transactions'!I39</f>
        <v/>
      </c>
      <c r="K16" s="133">
        <f>IFERROR(IF(Assumptions!$C$5="25th Percentile",'Precedent Transactions'!$F$39,IF(Assumptions!$C$5="Mean",'Precedent Transactions'!$H$39,IF(Assumptions!$C$5="75th Percentile",'Precedent Transactions'!$I$39,'Precedent Transactions'!$G$39))),"N/M")</f>
        <v/>
      </c>
      <c r="L16" s="139">
        <f>COUNT('Precedent Transactions'!C22:C33)</f>
        <v/>
      </c>
      <c r="M16" s="139">
        <f>COUNT('Precedent Transactions'!H22:H33)</f>
        <v/>
      </c>
      <c r="N16" s="135" t="inlineStr">
        <is>
          <t>A selected metric needs the minimum observation count in Assumptions; otherwise its effective valuation weight is zero.</t>
        </is>
      </c>
    </row>
    <row r="17" ht="39.55" customHeight="1" s="85">
      <c r="A17" s="90" t="inlineStr">
        <is>
          <t>Premium</t>
        </is>
      </c>
      <c r="B17" s="134">
        <f>'Precedent Transactions'!B40</f>
        <v/>
      </c>
      <c r="C17" s="134">
        <f>'Precedent Transactions'!C40</f>
        <v/>
      </c>
      <c r="D17" s="134">
        <f>'Precedent Transactions'!D40</f>
        <v/>
      </c>
      <c r="E17" s="134">
        <f>'Precedent Transactions'!E40</f>
        <v/>
      </c>
      <c r="F17" s="134">
        <f>IFERROR(IF(Assumptions!$B$5="25th Percentile",'Precedent Transactions'!$B$40,IF(Assumptions!$B$5="Mean",'Precedent Transactions'!$D$40,IF(Assumptions!$B$5="75th Percentile",'Precedent Transactions'!$E$40,'Precedent Transactions'!$C$40))),"N/M")</f>
        <v/>
      </c>
      <c r="G17" s="134">
        <f>'Precedent Transactions'!F40</f>
        <v/>
      </c>
      <c r="H17" s="134">
        <f>'Precedent Transactions'!G40</f>
        <v/>
      </c>
      <c r="I17" s="134">
        <f>'Precedent Transactions'!H40</f>
        <v/>
      </c>
      <c r="J17" s="134">
        <f>'Precedent Transactions'!I40</f>
        <v/>
      </c>
      <c r="K17" s="134">
        <f>IFERROR(IF(Assumptions!$C$5="25th Percentile",'Precedent Transactions'!$F$40,IF(Assumptions!$C$5="Mean",'Precedent Transactions'!$H$40,IF(Assumptions!$C$5="75th Percentile",'Precedent Transactions'!$I$40,'Precedent Transactions'!$G$40))),"N/M")</f>
        <v/>
      </c>
      <c r="L17" s="139">
        <f>COUNT('Precedent Transactions'!D22:D33)</f>
        <v/>
      </c>
      <c r="M17" s="139">
        <f>COUNT('Precedent Transactions'!I22:I33)</f>
        <v/>
      </c>
      <c r="N17" s="135" t="inlineStr">
        <is>
          <t>A selected metric needs the minimum observation count in Assumptions; otherwise its effective valuation weight is zero.</t>
        </is>
      </c>
    </row>
    <row r="18"/>
    <row r="19"/>
    <row r="20" ht="18" customHeight="1" s="85">
      <c r="A20" s="88" t="inlineStr">
        <is>
          <t>Step IV conclusion</t>
        </is>
      </c>
    </row>
    <row r="21" ht="15" customHeight="1" s="85">
      <c r="A21" s="90" t="inlineStr">
        <is>
          <t>Completed Analyst Conclusion</t>
        </is>
      </c>
      <c r="B21" s="140">
        <f>IF(COUNT(B15:E17)&gt;0,"The public precedent set contains "&amp;SUM(L15:L17)&amp;" metric observations before method-level minimum screens. Interpret the selected statistic with the deal-size, margin, age, and source limitations shown above.","Insufficient verified public transaction evidence for a completed benchmark.")</f>
        <v/>
      </c>
      <c r="H21" s="90" t="inlineStr">
        <is>
          <t>Student Conclusion (editable)</t>
        </is>
      </c>
      <c r="I21" s="119" t="inlineStr">
        <is>
          <t>Explain which acquisitions are most comparable, which statistic you selected, and how sample size, age, and financial-basis differences affect confidence.</t>
        </is>
      </c>
      <c r="J21" s="141" t="n"/>
      <c r="K21" s="141" t="n"/>
      <c r="L21" s="141" t="n"/>
      <c r="M21" s="141" t="n"/>
      <c r="N21" s="141" t="n"/>
    </row>
    <row r="22" ht="15" customHeight="1" s="85">
      <c r="I22" s="141" t="n"/>
      <c r="J22" s="141" t="n"/>
      <c r="K22" s="141" t="n"/>
      <c r="L22" s="141" t="n"/>
      <c r="M22" s="141" t="n"/>
      <c r="N22" s="141" t="n"/>
    </row>
    <row r="23"/>
    <row r="24"/>
    <row r="25"/>
    <row r="26" ht="18" customHeight="1" s="85">
      <c r="A26" s="88" t="inlineStr">
        <is>
          <t>Selected-acquisition benchmark helpers</t>
        </is>
      </c>
    </row>
    <row r="27" ht="28.5" customHeight="1" s="85">
      <c r="A27" s="97" t="inlineStr">
        <is>
          <t>Target</t>
        </is>
      </c>
      <c r="B27" s="97" t="inlineStr">
        <is>
          <t>Code Include</t>
        </is>
      </c>
      <c r="C27" s="97" t="inlineStr">
        <is>
          <t>Enterprise Value</t>
        </is>
      </c>
      <c r="D27" s="97" t="inlineStr">
        <is>
          <t>Revenue</t>
        </is>
      </c>
      <c r="E27" s="97" t="inlineStr">
        <is>
          <t>EBITDA Margin</t>
        </is>
      </c>
      <c r="F27" s="97" t="inlineStr">
        <is>
          <t>Deal Age</t>
        </is>
      </c>
      <c r="G27" s="97" t="inlineStr">
        <is>
          <t>Premium</t>
        </is>
      </c>
      <c r="H27" s="97" t="inlineStr">
        <is>
          <t>Target</t>
        </is>
      </c>
      <c r="I27" s="97" t="inlineStr">
        <is>
          <t>Student Include</t>
        </is>
      </c>
      <c r="J27" s="97" t="inlineStr">
        <is>
          <t>Enterprise Value</t>
        </is>
      </c>
      <c r="K27" s="97" t="inlineStr">
        <is>
          <t>Revenue</t>
        </is>
      </c>
      <c r="L27" s="97" t="inlineStr">
        <is>
          <t>EBITDA Margin</t>
        </is>
      </c>
      <c r="M27" s="97" t="inlineStr">
        <is>
          <t>Deal Age</t>
        </is>
      </c>
      <c r="N27" s="97" t="inlineStr">
        <is>
          <t>Premium</t>
        </is>
      </c>
    </row>
    <row r="28" ht="15" customHeight="1" s="85">
      <c r="A28" s="114">
        <f>'Precedent Transactions'!B6</f>
        <v/>
      </c>
      <c r="B28" s="114">
        <f>'Precedent Transactions'!E6</f>
        <v/>
      </c>
      <c r="C28" s="131">
        <f>IF(B28="Yes",'Precedent Transactions'!J6,"")</f>
        <v/>
      </c>
      <c r="D28" s="131">
        <f>IF(B28="Yes",'Precedent Transactions'!K6,"")</f>
        <v/>
      </c>
      <c r="E28" s="134">
        <f>IF(B28="Yes",IF(AND(ISNUMBER('Precedent Transactions'!L6),ISNUMBER('Precedent Transactions'!K6),'Precedent Transactions'!K6&lt;&gt;0),'Precedent Transactions'!L6/'Precedent Transactions'!K6,""),"")</f>
        <v/>
      </c>
      <c r="F28" s="142">
        <f>IF(B28="Yes",'Transaction Screening'!I6,"")</f>
        <v/>
      </c>
      <c r="G28" s="134">
        <f>IF(B28="Yes",'Precedent Transactions'!Q6,"")</f>
        <v/>
      </c>
      <c r="H28" s="114">
        <f>'Precedent Transactions'!B6</f>
        <v/>
      </c>
      <c r="I28" s="114">
        <f>'Precedent Transactions'!F6</f>
        <v/>
      </c>
      <c r="J28" s="131">
        <f>IF(I28="Yes",'Precedent Transactions'!S6,"")</f>
        <v/>
      </c>
      <c r="K28" s="131">
        <f>IF(I28="Yes",'Precedent Transactions'!T6,"")</f>
        <v/>
      </c>
      <c r="L28" s="134">
        <f>IF(I28="Yes",IF(AND(ISNUMBER('Precedent Transactions'!U6),ISNUMBER('Precedent Transactions'!T6),'Precedent Transactions'!T6&lt;&gt;0),'Precedent Transactions'!U6/'Precedent Transactions'!T6,""),"")</f>
        <v/>
      </c>
      <c r="M28" s="142">
        <f>IF(I28="Yes",'Transaction Screening'!I6,"")</f>
        <v/>
      </c>
      <c r="N28" s="134">
        <f>IF(I28="Yes",'Precedent Transactions'!Y6,"")</f>
        <v/>
      </c>
    </row>
    <row r="29" ht="15" customHeight="1" s="85">
      <c r="A29" s="114">
        <f>'Precedent Transactions'!B7</f>
        <v/>
      </c>
      <c r="B29" s="114">
        <f>'Precedent Transactions'!E7</f>
        <v/>
      </c>
      <c r="C29" s="131">
        <f>IF(B29="Yes",'Precedent Transactions'!J7,"")</f>
        <v/>
      </c>
      <c r="D29" s="131">
        <f>IF(B29="Yes",'Precedent Transactions'!K7,"")</f>
        <v/>
      </c>
      <c r="E29" s="134">
        <f>IF(B29="Yes",IF(AND(ISNUMBER('Precedent Transactions'!L7),ISNUMBER('Precedent Transactions'!K7),'Precedent Transactions'!K7&lt;&gt;0),'Precedent Transactions'!L7/'Precedent Transactions'!K7,""),"")</f>
        <v/>
      </c>
      <c r="F29" s="142">
        <f>IF(B29="Yes",'Transaction Screening'!I7,"")</f>
        <v/>
      </c>
      <c r="G29" s="134">
        <f>IF(B29="Yes",'Precedent Transactions'!Q7,"")</f>
        <v/>
      </c>
      <c r="H29" s="114">
        <f>'Precedent Transactions'!B7</f>
        <v/>
      </c>
      <c r="I29" s="114">
        <f>'Precedent Transactions'!F7</f>
        <v/>
      </c>
      <c r="J29" s="131">
        <f>IF(I29="Yes",'Precedent Transactions'!S7,"")</f>
        <v/>
      </c>
      <c r="K29" s="131">
        <f>IF(I29="Yes",'Precedent Transactions'!T7,"")</f>
        <v/>
      </c>
      <c r="L29" s="134">
        <f>IF(I29="Yes",IF(AND(ISNUMBER('Precedent Transactions'!U7),ISNUMBER('Precedent Transactions'!T7),'Precedent Transactions'!T7&lt;&gt;0),'Precedent Transactions'!U7/'Precedent Transactions'!T7,""),"")</f>
        <v/>
      </c>
      <c r="M29" s="142">
        <f>IF(I29="Yes",'Transaction Screening'!I7,"")</f>
        <v/>
      </c>
      <c r="N29" s="134">
        <f>IF(I29="Yes",'Precedent Transactions'!Y7,"")</f>
        <v/>
      </c>
    </row>
    <row r="30" ht="15" customHeight="1" s="85">
      <c r="A30" s="114">
        <f>'Precedent Transactions'!B8</f>
        <v/>
      </c>
      <c r="B30" s="114">
        <f>'Precedent Transactions'!E8</f>
        <v/>
      </c>
      <c r="C30" s="131">
        <f>IF(B30="Yes",'Precedent Transactions'!J8,"")</f>
        <v/>
      </c>
      <c r="D30" s="131">
        <f>IF(B30="Yes",'Precedent Transactions'!K8,"")</f>
        <v/>
      </c>
      <c r="E30" s="134">
        <f>IF(B30="Yes",IF(AND(ISNUMBER('Precedent Transactions'!L8),ISNUMBER('Precedent Transactions'!K8),'Precedent Transactions'!K8&lt;&gt;0),'Precedent Transactions'!L8/'Precedent Transactions'!K8,""),"")</f>
        <v/>
      </c>
      <c r="F30" s="142">
        <f>IF(B30="Yes",'Transaction Screening'!I8,"")</f>
        <v/>
      </c>
      <c r="G30" s="134">
        <f>IF(B30="Yes",'Precedent Transactions'!Q8,"")</f>
        <v/>
      </c>
      <c r="H30" s="114">
        <f>'Precedent Transactions'!B8</f>
        <v/>
      </c>
      <c r="I30" s="114">
        <f>'Precedent Transactions'!F8</f>
        <v/>
      </c>
      <c r="J30" s="131">
        <f>IF(I30="Yes",'Precedent Transactions'!S8,"")</f>
        <v/>
      </c>
      <c r="K30" s="131">
        <f>IF(I30="Yes",'Precedent Transactions'!T8,"")</f>
        <v/>
      </c>
      <c r="L30" s="134">
        <f>IF(I30="Yes",IF(AND(ISNUMBER('Precedent Transactions'!U8),ISNUMBER('Precedent Transactions'!T8),'Precedent Transactions'!T8&lt;&gt;0),'Precedent Transactions'!U8/'Precedent Transactions'!T8,""),"")</f>
        <v/>
      </c>
      <c r="M30" s="142">
        <f>IF(I30="Yes",'Transaction Screening'!I8,"")</f>
        <v/>
      </c>
      <c r="N30" s="134">
        <f>IF(I30="Yes",'Precedent Transactions'!Y8,"")</f>
        <v/>
      </c>
    </row>
    <row r="31" ht="15" customHeight="1" s="85">
      <c r="A31" s="114">
        <f>'Precedent Transactions'!B9</f>
        <v/>
      </c>
      <c r="B31" s="114">
        <f>'Precedent Transactions'!E9</f>
        <v/>
      </c>
      <c r="C31" s="131">
        <f>IF(B31="Yes",'Precedent Transactions'!J9,"")</f>
        <v/>
      </c>
      <c r="D31" s="131">
        <f>IF(B31="Yes",'Precedent Transactions'!K9,"")</f>
        <v/>
      </c>
      <c r="E31" s="134">
        <f>IF(B31="Yes",IF(AND(ISNUMBER('Precedent Transactions'!L9),ISNUMBER('Precedent Transactions'!K9),'Precedent Transactions'!K9&lt;&gt;0),'Precedent Transactions'!L9/'Precedent Transactions'!K9,""),"")</f>
        <v/>
      </c>
      <c r="F31" s="142">
        <f>IF(B31="Yes",'Transaction Screening'!I9,"")</f>
        <v/>
      </c>
      <c r="G31" s="134">
        <f>IF(B31="Yes",'Precedent Transactions'!Q9,"")</f>
        <v/>
      </c>
      <c r="H31" s="114">
        <f>'Precedent Transactions'!B9</f>
        <v/>
      </c>
      <c r="I31" s="114">
        <f>'Precedent Transactions'!F9</f>
        <v/>
      </c>
      <c r="J31" s="131">
        <f>IF(I31="Yes",'Precedent Transactions'!S9,"")</f>
        <v/>
      </c>
      <c r="K31" s="131">
        <f>IF(I31="Yes",'Precedent Transactions'!T9,"")</f>
        <v/>
      </c>
      <c r="L31" s="134">
        <f>IF(I31="Yes",IF(AND(ISNUMBER('Precedent Transactions'!U9),ISNUMBER('Precedent Transactions'!T9),'Precedent Transactions'!T9&lt;&gt;0),'Precedent Transactions'!U9/'Precedent Transactions'!T9,""),"")</f>
        <v/>
      </c>
      <c r="M31" s="142">
        <f>IF(I31="Yes",'Transaction Screening'!I9,"")</f>
        <v/>
      </c>
      <c r="N31" s="134">
        <f>IF(I31="Yes",'Precedent Transactions'!Y9,"")</f>
        <v/>
      </c>
    </row>
    <row r="32" ht="15" customHeight="1" s="85">
      <c r="A32" s="114">
        <f>'Precedent Transactions'!B10</f>
        <v/>
      </c>
      <c r="B32" s="114">
        <f>'Precedent Transactions'!E10</f>
        <v/>
      </c>
      <c r="C32" s="131">
        <f>IF(B32="Yes",'Precedent Transactions'!J10,"")</f>
        <v/>
      </c>
      <c r="D32" s="131">
        <f>IF(B32="Yes",'Precedent Transactions'!K10,"")</f>
        <v/>
      </c>
      <c r="E32" s="134">
        <f>IF(B32="Yes",IF(AND(ISNUMBER('Precedent Transactions'!L10),ISNUMBER('Precedent Transactions'!K10),'Precedent Transactions'!K10&lt;&gt;0),'Precedent Transactions'!L10/'Precedent Transactions'!K10,""),"")</f>
        <v/>
      </c>
      <c r="F32" s="142">
        <f>IF(B32="Yes",'Transaction Screening'!I10,"")</f>
        <v/>
      </c>
      <c r="G32" s="134">
        <f>IF(B32="Yes",'Precedent Transactions'!Q10,"")</f>
        <v/>
      </c>
      <c r="H32" s="114">
        <f>'Precedent Transactions'!B10</f>
        <v/>
      </c>
      <c r="I32" s="114">
        <f>'Precedent Transactions'!F10</f>
        <v/>
      </c>
      <c r="J32" s="131">
        <f>IF(I32="Yes",'Precedent Transactions'!S10,"")</f>
        <v/>
      </c>
      <c r="K32" s="131">
        <f>IF(I32="Yes",'Precedent Transactions'!T10,"")</f>
        <v/>
      </c>
      <c r="L32" s="134">
        <f>IF(I32="Yes",IF(AND(ISNUMBER('Precedent Transactions'!U10),ISNUMBER('Precedent Transactions'!T10),'Precedent Transactions'!T10&lt;&gt;0),'Precedent Transactions'!U10/'Precedent Transactions'!T10,""),"")</f>
        <v/>
      </c>
      <c r="M32" s="142">
        <f>IF(I32="Yes",'Transaction Screening'!I10,"")</f>
        <v/>
      </c>
      <c r="N32" s="134">
        <f>IF(I32="Yes",'Precedent Transactions'!Y10,"")</f>
        <v/>
      </c>
    </row>
    <row r="33" ht="15" customHeight="1" s="85">
      <c r="A33" s="114">
        <f>'Precedent Transactions'!B11</f>
        <v/>
      </c>
      <c r="B33" s="114">
        <f>'Precedent Transactions'!E11</f>
        <v/>
      </c>
      <c r="C33" s="131">
        <f>IF(B33="Yes",'Precedent Transactions'!J11,"")</f>
        <v/>
      </c>
      <c r="D33" s="131">
        <f>IF(B33="Yes",'Precedent Transactions'!K11,"")</f>
        <v/>
      </c>
      <c r="E33" s="134">
        <f>IF(B33="Yes",IF(AND(ISNUMBER('Precedent Transactions'!L11),ISNUMBER('Precedent Transactions'!K11),'Precedent Transactions'!K11&lt;&gt;0),'Precedent Transactions'!L11/'Precedent Transactions'!K11,""),"")</f>
        <v/>
      </c>
      <c r="F33" s="142">
        <f>IF(B33="Yes",'Transaction Screening'!I11,"")</f>
        <v/>
      </c>
      <c r="G33" s="134">
        <f>IF(B33="Yes",'Precedent Transactions'!Q11,"")</f>
        <v/>
      </c>
      <c r="H33" s="114">
        <f>'Precedent Transactions'!B11</f>
        <v/>
      </c>
      <c r="I33" s="114">
        <f>'Precedent Transactions'!F11</f>
        <v/>
      </c>
      <c r="J33" s="131">
        <f>IF(I33="Yes",'Precedent Transactions'!S11,"")</f>
        <v/>
      </c>
      <c r="K33" s="131">
        <f>IF(I33="Yes",'Precedent Transactions'!T11,"")</f>
        <v/>
      </c>
      <c r="L33" s="134">
        <f>IF(I33="Yes",IF(AND(ISNUMBER('Precedent Transactions'!U11),ISNUMBER('Precedent Transactions'!T11),'Precedent Transactions'!T11&lt;&gt;0),'Precedent Transactions'!U11/'Precedent Transactions'!T11,""),"")</f>
        <v/>
      </c>
      <c r="M33" s="142">
        <f>IF(I33="Yes",'Transaction Screening'!I11,"")</f>
        <v/>
      </c>
      <c r="N33" s="134">
        <f>IF(I33="Yes",'Precedent Transactions'!Y11,"")</f>
        <v/>
      </c>
    </row>
    <row r="34" ht="15" customHeight="1" s="85">
      <c r="A34" s="114">
        <f>'Precedent Transactions'!B12</f>
        <v/>
      </c>
      <c r="B34" s="114">
        <f>'Precedent Transactions'!E12</f>
        <v/>
      </c>
      <c r="C34" s="131">
        <f>IF(B34="Yes",'Precedent Transactions'!J12,"")</f>
        <v/>
      </c>
      <c r="D34" s="131">
        <f>IF(B34="Yes",'Precedent Transactions'!K12,"")</f>
        <v/>
      </c>
      <c r="E34" s="134">
        <f>IF(B34="Yes",IF(AND(ISNUMBER('Precedent Transactions'!L12),ISNUMBER('Precedent Transactions'!K12),'Precedent Transactions'!K12&lt;&gt;0),'Precedent Transactions'!L12/'Precedent Transactions'!K12,""),"")</f>
        <v/>
      </c>
      <c r="F34" s="142">
        <f>IF(B34="Yes",'Transaction Screening'!I12,"")</f>
        <v/>
      </c>
      <c r="G34" s="134">
        <f>IF(B34="Yes",'Precedent Transactions'!Q12,"")</f>
        <v/>
      </c>
      <c r="H34" s="114">
        <f>'Precedent Transactions'!B12</f>
        <v/>
      </c>
      <c r="I34" s="114">
        <f>'Precedent Transactions'!F12</f>
        <v/>
      </c>
      <c r="J34" s="131">
        <f>IF(I34="Yes",'Precedent Transactions'!S12,"")</f>
        <v/>
      </c>
      <c r="K34" s="131">
        <f>IF(I34="Yes",'Precedent Transactions'!T12,"")</f>
        <v/>
      </c>
      <c r="L34" s="134">
        <f>IF(I34="Yes",IF(AND(ISNUMBER('Precedent Transactions'!U12),ISNUMBER('Precedent Transactions'!T12),'Precedent Transactions'!T12&lt;&gt;0),'Precedent Transactions'!U12/'Precedent Transactions'!T12,""),"")</f>
        <v/>
      </c>
      <c r="M34" s="142">
        <f>IF(I34="Yes",'Transaction Screening'!I12,"")</f>
        <v/>
      </c>
      <c r="N34" s="134">
        <f>IF(I34="Yes",'Precedent Transactions'!Y12,"")</f>
        <v/>
      </c>
    </row>
    <row r="35" ht="15" customHeight="1" s="85">
      <c r="A35" s="114">
        <f>'Precedent Transactions'!B13</f>
        <v/>
      </c>
      <c r="B35" s="114">
        <f>'Precedent Transactions'!E13</f>
        <v/>
      </c>
      <c r="C35" s="131">
        <f>IF(B35="Yes",'Precedent Transactions'!J13,"")</f>
        <v/>
      </c>
      <c r="D35" s="131">
        <f>IF(B35="Yes",'Precedent Transactions'!K13,"")</f>
        <v/>
      </c>
      <c r="E35" s="134">
        <f>IF(B35="Yes",IF(AND(ISNUMBER('Precedent Transactions'!L13),ISNUMBER('Precedent Transactions'!K13),'Precedent Transactions'!K13&lt;&gt;0),'Precedent Transactions'!L13/'Precedent Transactions'!K13,""),"")</f>
        <v/>
      </c>
      <c r="F35" s="142">
        <f>IF(B35="Yes",'Transaction Screening'!I13,"")</f>
        <v/>
      </c>
      <c r="G35" s="134">
        <f>IF(B35="Yes",'Precedent Transactions'!Q13,"")</f>
        <v/>
      </c>
      <c r="H35" s="114">
        <f>'Precedent Transactions'!B13</f>
        <v/>
      </c>
      <c r="I35" s="114">
        <f>'Precedent Transactions'!F13</f>
        <v/>
      </c>
      <c r="J35" s="131">
        <f>IF(I35="Yes",'Precedent Transactions'!S13,"")</f>
        <v/>
      </c>
      <c r="K35" s="131">
        <f>IF(I35="Yes",'Precedent Transactions'!T13,"")</f>
        <v/>
      </c>
      <c r="L35" s="134">
        <f>IF(I35="Yes",IF(AND(ISNUMBER('Precedent Transactions'!U13),ISNUMBER('Precedent Transactions'!T13),'Precedent Transactions'!T13&lt;&gt;0),'Precedent Transactions'!U13/'Precedent Transactions'!T13,""),"")</f>
        <v/>
      </c>
      <c r="M35" s="142">
        <f>IF(I35="Yes",'Transaction Screening'!I13,"")</f>
        <v/>
      </c>
      <c r="N35" s="134">
        <f>IF(I35="Yes",'Precedent Transactions'!Y13,"")</f>
        <v/>
      </c>
    </row>
    <row r="36" ht="15" customHeight="1" s="85">
      <c r="A36" s="114">
        <f>'Precedent Transactions'!B14</f>
        <v/>
      </c>
      <c r="B36" s="114">
        <f>'Precedent Transactions'!E14</f>
        <v/>
      </c>
      <c r="C36" s="131">
        <f>IF(B36="Yes",'Precedent Transactions'!J14,"")</f>
        <v/>
      </c>
      <c r="D36" s="131">
        <f>IF(B36="Yes",'Precedent Transactions'!K14,"")</f>
        <v/>
      </c>
      <c r="E36" s="134">
        <f>IF(B36="Yes",IF(AND(ISNUMBER('Precedent Transactions'!L14),ISNUMBER('Precedent Transactions'!K14),'Precedent Transactions'!K14&lt;&gt;0),'Precedent Transactions'!L14/'Precedent Transactions'!K14,""),"")</f>
        <v/>
      </c>
      <c r="F36" s="142">
        <f>IF(B36="Yes",'Transaction Screening'!I14,"")</f>
        <v/>
      </c>
      <c r="G36" s="134">
        <f>IF(B36="Yes",'Precedent Transactions'!Q14,"")</f>
        <v/>
      </c>
      <c r="H36" s="114">
        <f>'Precedent Transactions'!B14</f>
        <v/>
      </c>
      <c r="I36" s="114">
        <f>'Precedent Transactions'!F14</f>
        <v/>
      </c>
      <c r="J36" s="131">
        <f>IF(I36="Yes",'Precedent Transactions'!S14,"")</f>
        <v/>
      </c>
      <c r="K36" s="131">
        <f>IF(I36="Yes",'Precedent Transactions'!T14,"")</f>
        <v/>
      </c>
      <c r="L36" s="134">
        <f>IF(I36="Yes",IF(AND(ISNUMBER('Precedent Transactions'!U14),ISNUMBER('Precedent Transactions'!T14),'Precedent Transactions'!T14&lt;&gt;0),'Precedent Transactions'!U14/'Precedent Transactions'!T14,""),"")</f>
        <v/>
      </c>
      <c r="M36" s="142">
        <f>IF(I36="Yes",'Transaction Screening'!I14,"")</f>
        <v/>
      </c>
      <c r="N36" s="134">
        <f>IF(I36="Yes",'Precedent Transactions'!Y14,"")</f>
        <v/>
      </c>
    </row>
    <row r="37" ht="15" customHeight="1" s="85">
      <c r="A37" s="114">
        <f>'Precedent Transactions'!B15</f>
        <v/>
      </c>
      <c r="B37" s="114">
        <f>'Precedent Transactions'!E15</f>
        <v/>
      </c>
      <c r="C37" s="131">
        <f>IF(B37="Yes",'Precedent Transactions'!J15,"")</f>
        <v/>
      </c>
      <c r="D37" s="131">
        <f>IF(B37="Yes",'Precedent Transactions'!K15,"")</f>
        <v/>
      </c>
      <c r="E37" s="134">
        <f>IF(B37="Yes",IF(AND(ISNUMBER('Precedent Transactions'!L15),ISNUMBER('Precedent Transactions'!K15),'Precedent Transactions'!K15&lt;&gt;0),'Precedent Transactions'!L15/'Precedent Transactions'!K15,""),"")</f>
        <v/>
      </c>
      <c r="F37" s="142">
        <f>IF(B37="Yes",'Transaction Screening'!I15,"")</f>
        <v/>
      </c>
      <c r="G37" s="134">
        <f>IF(B37="Yes",'Precedent Transactions'!Q15,"")</f>
        <v/>
      </c>
      <c r="H37" s="114">
        <f>'Precedent Transactions'!B15</f>
        <v/>
      </c>
      <c r="I37" s="114">
        <f>'Precedent Transactions'!F15</f>
        <v/>
      </c>
      <c r="J37" s="131">
        <f>IF(I37="Yes",'Precedent Transactions'!S15,"")</f>
        <v/>
      </c>
      <c r="K37" s="131">
        <f>IF(I37="Yes",'Precedent Transactions'!T15,"")</f>
        <v/>
      </c>
      <c r="L37" s="134">
        <f>IF(I37="Yes",IF(AND(ISNUMBER('Precedent Transactions'!U15),ISNUMBER('Precedent Transactions'!T15),'Precedent Transactions'!T15&lt;&gt;0),'Precedent Transactions'!U15/'Precedent Transactions'!T15,""),"")</f>
        <v/>
      </c>
      <c r="M37" s="142">
        <f>IF(I37="Yes",'Transaction Screening'!I15,"")</f>
        <v/>
      </c>
      <c r="N37" s="134">
        <f>IF(I37="Yes",'Precedent Transactions'!Y15,"")</f>
        <v/>
      </c>
    </row>
    <row r="38" ht="15" customHeight="1" s="85">
      <c r="A38" s="114">
        <f>'Precedent Transactions'!B16</f>
        <v/>
      </c>
      <c r="B38" s="114">
        <f>'Precedent Transactions'!E16</f>
        <v/>
      </c>
      <c r="C38" s="131">
        <f>IF(B38="Yes",'Precedent Transactions'!J16,"")</f>
        <v/>
      </c>
      <c r="D38" s="131">
        <f>IF(B38="Yes",'Precedent Transactions'!K16,"")</f>
        <v/>
      </c>
      <c r="E38" s="134">
        <f>IF(B38="Yes",IF(AND(ISNUMBER('Precedent Transactions'!L16),ISNUMBER('Precedent Transactions'!K16),'Precedent Transactions'!K16&lt;&gt;0),'Precedent Transactions'!L16/'Precedent Transactions'!K16,""),"")</f>
        <v/>
      </c>
      <c r="F38" s="142">
        <f>IF(B38="Yes",'Transaction Screening'!I16,"")</f>
        <v/>
      </c>
      <c r="G38" s="134">
        <f>IF(B38="Yes",'Precedent Transactions'!Q16,"")</f>
        <v/>
      </c>
      <c r="H38" s="114">
        <f>'Precedent Transactions'!B16</f>
        <v/>
      </c>
      <c r="I38" s="114">
        <f>'Precedent Transactions'!F16</f>
        <v/>
      </c>
      <c r="J38" s="131">
        <f>IF(I38="Yes",'Precedent Transactions'!S16,"")</f>
        <v/>
      </c>
      <c r="K38" s="131">
        <f>IF(I38="Yes",'Precedent Transactions'!T16,"")</f>
        <v/>
      </c>
      <c r="L38" s="134">
        <f>IF(I38="Yes",IF(AND(ISNUMBER('Precedent Transactions'!U16),ISNUMBER('Precedent Transactions'!T16),'Precedent Transactions'!T16&lt;&gt;0),'Precedent Transactions'!U16/'Precedent Transactions'!T16,""),"")</f>
        <v/>
      </c>
      <c r="M38" s="142">
        <f>IF(I38="Yes",'Transaction Screening'!I16,"")</f>
        <v/>
      </c>
      <c r="N38" s="134">
        <f>IF(I38="Yes",'Precedent Transactions'!Y16,"")</f>
        <v/>
      </c>
    </row>
    <row r="39" ht="15" customHeight="1" s="85">
      <c r="A39" s="114">
        <f>'Precedent Transactions'!B17</f>
        <v/>
      </c>
      <c r="B39" s="114">
        <f>'Precedent Transactions'!E17</f>
        <v/>
      </c>
      <c r="C39" s="131">
        <f>IF(B39="Yes",'Precedent Transactions'!J17,"")</f>
        <v/>
      </c>
      <c r="D39" s="131">
        <f>IF(B39="Yes",'Precedent Transactions'!K17,"")</f>
        <v/>
      </c>
      <c r="E39" s="134">
        <f>IF(B39="Yes",IF(AND(ISNUMBER('Precedent Transactions'!L17),ISNUMBER('Precedent Transactions'!K17),'Precedent Transactions'!K17&lt;&gt;0),'Precedent Transactions'!L17/'Precedent Transactions'!K17,""),"")</f>
        <v/>
      </c>
      <c r="F39" s="142">
        <f>IF(B39="Yes",'Transaction Screening'!I17,"")</f>
        <v/>
      </c>
      <c r="G39" s="134">
        <f>IF(B39="Yes",'Precedent Transactions'!Q17,"")</f>
        <v/>
      </c>
      <c r="H39" s="114">
        <f>'Precedent Transactions'!B17</f>
        <v/>
      </c>
      <c r="I39" s="114">
        <f>'Precedent Transactions'!F17</f>
        <v/>
      </c>
      <c r="J39" s="131">
        <f>IF(I39="Yes",'Precedent Transactions'!S17,"")</f>
        <v/>
      </c>
      <c r="K39" s="131">
        <f>IF(I39="Yes",'Precedent Transactions'!T17,"")</f>
        <v/>
      </c>
      <c r="L39" s="134">
        <f>IF(I39="Yes",IF(AND(ISNUMBER('Precedent Transactions'!U17),ISNUMBER('Precedent Transactions'!T17),'Precedent Transactions'!T17&lt;&gt;0),'Precedent Transactions'!U17/'Precedent Transactions'!T17,""),"")</f>
        <v/>
      </c>
      <c r="M39" s="142">
        <f>IF(I39="Yes",'Transaction Screening'!I17,"")</f>
        <v/>
      </c>
      <c r="N39" s="134">
        <f>IF(I39="Yes",'Precedent Transactions'!Y17,"")</f>
        <v/>
      </c>
    </row>
  </sheetData>
  <mergeCells count="8">
    <mergeCell ref="I21:N22"/>
    <mergeCell ref="A4:N4"/>
    <mergeCell ref="B21:G22"/>
    <mergeCell ref="A20:N20"/>
    <mergeCell ref="A26:N26"/>
    <mergeCell ref="A2:N2"/>
    <mergeCell ref="A13:N13"/>
    <mergeCell ref="A1:N1"/>
  </mergeCells>
  <printOptions horizontalCentered="0" verticalCentered="0" headings="0" gridLines="0" gridLinesSet="1"/>
  <pageMargins left="0.75" right="0.75" top="1" bottom="1" header="0.511811023622047" footer="0.5"/>
  <pageSetup orientation="landscape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  <legacyDrawing xmlns:r="http://schemas.openxmlformats.org/officeDocument/2006/relationships" r:id="anysvml"/>
</worksheet>
</file>

<file path=xl/worksheets/sheet7.xml><?xml version="1.0" encoding="utf-8"?>
<worksheet xmlns="http://schemas.openxmlformats.org/spreadsheetml/2006/main">
  <sheetPr filterMode="0">
    <tabColor rgb="FF00B050"/>
    <outlinePr summaryBelow="1" summaryRight="1"/>
    <pageSetUpPr fitToPage="1"/>
  </sheetPr>
  <dimension ref="A1:W22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21" customWidth="1" style="84" min="1" max="1"/>
    <col width="18" customWidth="1" style="84" min="2" max="3"/>
    <col width="20" customWidth="1" style="84" min="4" max="5"/>
    <col width="18" customWidth="1" style="84" min="6" max="7"/>
    <col width="20" customWidth="1" style="84" min="8" max="9"/>
    <col width="46" customWidth="1" style="84" min="10" max="10"/>
    <col width="12" customWidth="1" style="84" min="11" max="11"/>
    <col width="16" customWidth="1" style="84" min="12" max="12"/>
    <col width="12" customWidth="1" style="84" min="13" max="13"/>
    <col width="16" customWidth="1" style="84" min="14" max="14"/>
    <col width="18" customWidth="1" style="84" min="15" max="16"/>
    <col width="21" customWidth="1" style="84" min="17" max="17"/>
    <col width="18" customWidth="1" style="84" min="18" max="23"/>
  </cols>
  <sheetData>
    <row r="1" ht="27" customHeight="1" s="85">
      <c r="A1" s="86" t="inlineStr">
        <is>
          <t>Step V. Determine Valuation — Comparable Transactions</t>
        </is>
      </c>
    </row>
    <row r="2" ht="25.5" customHeight="1" s="85">
      <c r="A2" s="87" t="inlineStr">
        <is>
          <t>Completed analyst and student-template indications are shown separately. Only methods with adequate, meaningful observations receive effective weight. The valuation range applies 25th, median, and 75th percentile transaction statistics.</t>
        </is>
      </c>
    </row>
    <row r="3"/>
    <row r="4" ht="18" customHeight="1" s="85">
      <c r="A4" s="88" t="inlineStr">
        <is>
          <t>AI Valuation (Columns B–E) | Student Template (Columns F–I) | Evidence Qualification (Columns K–P) | Quartile Valuation Cases (Columns Q–W)</t>
        </is>
      </c>
    </row>
    <row r="5" ht="28.5" customHeight="1" s="85">
      <c r="A5" s="97" t="inlineStr">
        <is>
          <t>Method</t>
        </is>
      </c>
      <c r="B5" s="97" t="inlineStr">
        <is>
          <t>Code Target Metric</t>
        </is>
      </c>
      <c r="C5" s="97" t="inlineStr">
        <is>
          <t>Code Selected Metric</t>
        </is>
      </c>
      <c r="D5" s="97" t="inlineStr">
        <is>
          <t>Code Implied EV / Equity</t>
        </is>
      </c>
      <c r="E5" s="97" t="inlineStr">
        <is>
          <t>Code Implied Share Price</t>
        </is>
      </c>
      <c r="F5" s="97" t="inlineStr">
        <is>
          <t>Student Target Metric</t>
        </is>
      </c>
      <c r="G5" s="97" t="inlineStr">
        <is>
          <t>Student Selected Metric</t>
        </is>
      </c>
      <c r="H5" s="97" t="inlineStr">
        <is>
          <t>Student Implied EV / Equity</t>
        </is>
      </c>
      <c r="I5" s="97" t="inlineStr">
        <is>
          <t>Student Implied Share Price</t>
        </is>
      </c>
      <c r="J5" s="97" t="inlineStr">
        <is>
          <t>Interpretation</t>
        </is>
      </c>
      <c r="K5" s="97" t="inlineStr">
        <is>
          <t>Code Obs.</t>
        </is>
      </c>
      <c r="L5" s="97" t="inlineStr">
        <is>
          <t>Code Effective Weight</t>
        </is>
      </c>
      <c r="M5" s="97" t="inlineStr">
        <is>
          <t>Student Obs.</t>
        </is>
      </c>
      <c r="N5" s="97" t="inlineStr">
        <is>
          <t>Student Effective Weight</t>
        </is>
      </c>
      <c r="O5" s="97" t="inlineStr">
        <is>
          <t>Qualified Code Price</t>
        </is>
      </c>
      <c r="P5" s="97" t="inlineStr">
        <is>
          <t>Qualified Student Price</t>
        </is>
      </c>
      <c r="Q5" s="97" t="inlineStr">
        <is>
          <t>Quartile Method</t>
        </is>
      </c>
      <c r="R5" s="97" t="inlineStr">
        <is>
          <t>Code 25th Price</t>
        </is>
      </c>
      <c r="S5" s="97" t="inlineStr">
        <is>
          <t>Code Median Price</t>
        </is>
      </c>
      <c r="T5" s="97" t="inlineStr">
        <is>
          <t>Code 75th Price</t>
        </is>
      </c>
      <c r="U5" s="97" t="inlineStr">
        <is>
          <t>Student 25th Price</t>
        </is>
      </c>
      <c r="V5" s="97" t="inlineStr">
        <is>
          <t>Student Median Price</t>
        </is>
      </c>
      <c r="W5" s="97" t="inlineStr">
        <is>
          <t>Student 75th Price</t>
        </is>
      </c>
    </row>
    <row r="6" ht="26.85" customHeight="1" s="85">
      <c r="A6" s="90" t="inlineStr">
        <is>
          <t>EV / Revenue</t>
        </is>
      </c>
      <c r="B6" s="131">
        <f>Assumptions!B8</f>
        <v/>
      </c>
      <c r="C6" s="133">
        <f>Benchmarking!F15</f>
        <v/>
      </c>
      <c r="D6" s="120">
        <f>IF(AND(ISNUMBER(B6),ISNUMBER(C6)),B6*C6,"N/M")</f>
        <v/>
      </c>
      <c r="E6" s="132">
        <f>IF(AND(ISNUMBER(D6),ISNUMBER(Assumptions!B10),ISNUMBER(Assumptions!B11),Assumptions!B11&gt;0),(D6-Assumptions!B10)/Assumptions!B11,"N/M")</f>
        <v/>
      </c>
      <c r="F6" s="131">
        <f>Assumptions!C8</f>
        <v/>
      </c>
      <c r="G6" s="133">
        <f>Benchmarking!K15</f>
        <v/>
      </c>
      <c r="H6" s="120">
        <f>IF(AND(ISNUMBER(F6),ISNUMBER(G6)),F6*G6,"N/M")</f>
        <v/>
      </c>
      <c r="I6" s="132">
        <f>IF(AND(ISNUMBER(H6),ISNUMBER(Assumptions!C10),ISNUMBER(Assumptions!C11),Assumptions!C11&gt;0),(H6-Assumptions!C10)/Assumptions!C11,"N/M")</f>
        <v/>
      </c>
      <c r="J6" s="135" t="inlineStr">
        <is>
          <t>Enterprise-value indication; subtract target net debt before dividing by diluted shares.</t>
        </is>
      </c>
      <c r="K6" s="139">
        <f>Benchmarking!L15</f>
        <v/>
      </c>
      <c r="L6" s="134">
        <f>IFERROR(IF(AND(K6&gt;=Assumptions!B6,ISNUMBER(E6)),Assumptions!B23,0)/(IF(AND(K6&gt;=Assumptions!B6,ISNUMBER(E6)),Assumptions!B23,0)+IF(AND(K7&gt;=Assumptions!B6,ISNUMBER(E7)),Assumptions!B24,0)+IF(AND(K8&gt;=Assumptions!B6,ISNUMBER(E8)),Assumptions!B25,0)),0)</f>
        <v/>
      </c>
      <c r="M6" s="139">
        <f>Benchmarking!M15</f>
        <v/>
      </c>
      <c r="N6" s="134">
        <f>IFERROR(IF(AND(M6&gt;=Assumptions!C6,ISNUMBER(I6)),Assumptions!C23,0)/(IF(AND(M6&gt;=Assumptions!C6,ISNUMBER(I6)),Assumptions!C23,0)+IF(AND(M7&gt;=Assumptions!C6,ISNUMBER(I7)),Assumptions!C24,0)+IF(AND(M8&gt;=Assumptions!C6,ISNUMBER(I8)),Assumptions!C25,0)),0)</f>
        <v/>
      </c>
      <c r="O6" s="123">
        <f>IF(AND(L6&gt;0,ISNUMBER(E6)),E6,"")</f>
        <v/>
      </c>
      <c r="P6" s="123">
        <f>IF(AND(N6&gt;0,ISNUMBER(I6)),I6,"")</f>
        <v/>
      </c>
      <c r="Q6" s="90" t="inlineStr">
        <is>
          <t>EV / Revenue</t>
        </is>
      </c>
      <c r="R6" s="132">
        <f>IF(AND(L6&gt;0,ISNUMBER(B6),ISNUMBER(Benchmarking!B15),ISNUMBER(Assumptions!B10),ISNUMBER(Assumptions!B11),Assumptions!B11&gt;0),(B6*Benchmarking!B15-Assumptions!B10)/Assumptions!B11,"")</f>
        <v/>
      </c>
      <c r="S6" s="132">
        <f>IF(AND(L6&gt;0,ISNUMBER(B6),ISNUMBER(Benchmarking!C15),ISNUMBER(Assumptions!B10),ISNUMBER(Assumptions!B11),Assumptions!B11&gt;0),(B6*Benchmarking!C15-Assumptions!B10)/Assumptions!B11,"")</f>
        <v/>
      </c>
      <c r="T6" s="132">
        <f>IF(AND(L6&gt;0,ISNUMBER(B6),ISNUMBER(Benchmarking!E15),ISNUMBER(Assumptions!B10),ISNUMBER(Assumptions!B11),Assumptions!B11&gt;0),(B6*Benchmarking!E15-Assumptions!B10)/Assumptions!B11,"")</f>
        <v/>
      </c>
      <c r="U6" s="132">
        <f>IF(AND(N6&gt;0,ISNUMBER(F6),ISNUMBER(Benchmarking!G15),ISNUMBER(Assumptions!C10),ISNUMBER(Assumptions!C11),Assumptions!C11&gt;0),(F6*Benchmarking!G15-Assumptions!C10)/Assumptions!C11,"")</f>
        <v/>
      </c>
      <c r="V6" s="132">
        <f>IF(AND(N6&gt;0,ISNUMBER(F6),ISNUMBER(Benchmarking!H15),ISNUMBER(Assumptions!C10),ISNUMBER(Assumptions!C11),Assumptions!C11&gt;0),(F6*Benchmarking!H15-Assumptions!C10)/Assumptions!C11,"")</f>
        <v/>
      </c>
      <c r="W6" s="132">
        <f>IF(AND(N6&gt;0,ISNUMBER(F6),ISNUMBER(Benchmarking!J15),ISNUMBER(Assumptions!C10),ISNUMBER(Assumptions!C11),Assumptions!C11&gt;0),(F6*Benchmarking!J15-Assumptions!C10)/Assumptions!C11,"")</f>
        <v/>
      </c>
    </row>
    <row r="7" ht="26.85" customHeight="1" s="85">
      <c r="A7" s="90" t="inlineStr">
        <is>
          <t>EV / EBITDA</t>
        </is>
      </c>
      <c r="B7" s="131">
        <f>Assumptions!B9</f>
        <v/>
      </c>
      <c r="C7" s="133">
        <f>Benchmarking!F16</f>
        <v/>
      </c>
      <c r="D7" s="120">
        <f>IF(AND(ISNUMBER(B7),ISNUMBER(C7)),B7*C7,"N/M")</f>
        <v/>
      </c>
      <c r="E7" s="132">
        <f>IF(AND(ISNUMBER(D7),ISNUMBER(Assumptions!B10),ISNUMBER(Assumptions!B11),Assumptions!B11&gt;0),(D7-Assumptions!B10)/Assumptions!B11,"N/M")</f>
        <v/>
      </c>
      <c r="F7" s="131">
        <f>Assumptions!C9</f>
        <v/>
      </c>
      <c r="G7" s="133">
        <f>Benchmarking!K16</f>
        <v/>
      </c>
      <c r="H7" s="120">
        <f>IF(AND(ISNUMBER(F7),ISNUMBER(G7)),F7*G7,"N/M")</f>
        <v/>
      </c>
      <c r="I7" s="132">
        <f>IF(AND(ISNUMBER(H7),ISNUMBER(Assumptions!C10),ISNUMBER(Assumptions!C11),Assumptions!C11&gt;0),(H7-Assumptions!C10)/Assumptions!C11,"N/M")</f>
        <v/>
      </c>
      <c r="J7" s="135" t="inlineStr">
        <is>
          <t>Enterprise-value indication; subtract target net debt before dividing by diluted shares.</t>
        </is>
      </c>
      <c r="K7" s="139">
        <f>Benchmarking!L16</f>
        <v/>
      </c>
      <c r="L7" s="134">
        <f>IFERROR(IF(AND(K7&gt;=Assumptions!B6,ISNUMBER(E7)),Assumptions!B24,0)/(IF(AND(K6&gt;=Assumptions!B6,ISNUMBER(E6)),Assumptions!B23,0)+IF(AND(K7&gt;=Assumptions!B6,ISNUMBER(E7)),Assumptions!B24,0)+IF(AND(K8&gt;=Assumptions!B6,ISNUMBER(E8)),Assumptions!B25,0)),0)</f>
        <v/>
      </c>
      <c r="M7" s="139">
        <f>Benchmarking!M16</f>
        <v/>
      </c>
      <c r="N7" s="134">
        <f>IFERROR(IF(AND(M7&gt;=Assumptions!C6,ISNUMBER(I7)),Assumptions!C24,0)/(IF(AND(M6&gt;=Assumptions!C6,ISNUMBER(I6)),Assumptions!C23,0)+IF(AND(M7&gt;=Assumptions!C6,ISNUMBER(I7)),Assumptions!C24,0)+IF(AND(M8&gt;=Assumptions!C6,ISNUMBER(I8)),Assumptions!C25,0)),0)</f>
        <v/>
      </c>
      <c r="O7" s="123">
        <f>IF(AND(L7&gt;0,ISNUMBER(E7)),E7,"")</f>
        <v/>
      </c>
      <c r="P7" s="123">
        <f>IF(AND(N7&gt;0,ISNUMBER(I7)),I7,"")</f>
        <v/>
      </c>
      <c r="Q7" s="90" t="inlineStr">
        <is>
          <t>EV / EBITDA</t>
        </is>
      </c>
      <c r="R7" s="132">
        <f>IF(AND(L7&gt;0,ISNUMBER(B7),ISNUMBER(Benchmarking!B16),ISNUMBER(Assumptions!B10),ISNUMBER(Assumptions!B11),Assumptions!B11&gt;0),(B7*Benchmarking!B16-Assumptions!B10)/Assumptions!B11,"")</f>
        <v/>
      </c>
      <c r="S7" s="132">
        <f>IF(AND(L7&gt;0,ISNUMBER(B7),ISNUMBER(Benchmarking!C16),ISNUMBER(Assumptions!B10),ISNUMBER(Assumptions!B11),Assumptions!B11&gt;0),(B7*Benchmarking!C16-Assumptions!B10)/Assumptions!B11,"")</f>
        <v/>
      </c>
      <c r="T7" s="132">
        <f>IF(AND(L7&gt;0,ISNUMBER(B7),ISNUMBER(Benchmarking!E16),ISNUMBER(Assumptions!B10),ISNUMBER(Assumptions!B11),Assumptions!B11&gt;0),(B7*Benchmarking!E16-Assumptions!B10)/Assumptions!B11,"")</f>
        <v/>
      </c>
      <c r="U7" s="132">
        <f>IF(AND(N7&gt;0,ISNUMBER(F7),ISNUMBER(Benchmarking!G16),ISNUMBER(Assumptions!C10),ISNUMBER(Assumptions!C11),Assumptions!C11&gt;0),(F7*Benchmarking!G16-Assumptions!C10)/Assumptions!C11,"")</f>
        <v/>
      </c>
      <c r="V7" s="132">
        <f>IF(AND(N7&gt;0,ISNUMBER(F7),ISNUMBER(Benchmarking!H16),ISNUMBER(Assumptions!C10),ISNUMBER(Assumptions!C11),Assumptions!C11&gt;0),(F7*Benchmarking!H16-Assumptions!C10)/Assumptions!C11,"")</f>
        <v/>
      </c>
      <c r="W7" s="132">
        <f>IF(AND(N7&gt;0,ISNUMBER(F7),ISNUMBER(Benchmarking!J16),ISNUMBER(Assumptions!C10),ISNUMBER(Assumptions!C11),Assumptions!C11&gt;0),(F7*Benchmarking!J16-Assumptions!C10)/Assumptions!C11,"")</f>
        <v/>
      </c>
    </row>
    <row r="8" ht="26.85" customHeight="1" s="85">
      <c r="A8" s="90" t="inlineStr">
        <is>
          <t>Acquisition Premium</t>
        </is>
      </c>
      <c r="B8" s="132">
        <f>Assumptions!B12</f>
        <v/>
      </c>
      <c r="C8" s="134">
        <f>Benchmarking!F17</f>
        <v/>
      </c>
      <c r="D8" s="123">
        <f>IF(AND(ISNUMBER(B8),ISNUMBER(C8)),B8*(1+C8),"N/M")</f>
        <v/>
      </c>
      <c r="E8" s="123">
        <f>IF(ISNUMBER(D8),D8,"N/M")</f>
        <v/>
      </c>
      <c r="F8" s="132">
        <f>Assumptions!C12</f>
        <v/>
      </c>
      <c r="G8" s="134">
        <f>Benchmarking!K17</f>
        <v/>
      </c>
      <c r="H8" s="123">
        <f>IF(AND(ISNUMBER(F8),ISNUMBER(G8)),F8*(1+G8),"N/M")</f>
        <v/>
      </c>
      <c r="I8" s="123">
        <f>IF(ISNUMBER(H8),H8,"N/M")</f>
        <v/>
      </c>
      <c r="J8" s="135" t="inlineStr">
        <is>
          <t>Premium indication; useful only when unaffected prices and control contexts are comparable.</t>
        </is>
      </c>
      <c r="K8" s="139">
        <f>Benchmarking!L17</f>
        <v/>
      </c>
      <c r="L8" s="134">
        <f>IFERROR(IF(AND(K8&gt;=Assumptions!B6,ISNUMBER(E8)),Assumptions!B25,0)/(IF(AND(K6&gt;=Assumptions!B6,ISNUMBER(E6)),Assumptions!B23,0)+IF(AND(K7&gt;=Assumptions!B6,ISNUMBER(E7)),Assumptions!B24,0)+IF(AND(K8&gt;=Assumptions!B6,ISNUMBER(E8)),Assumptions!B25,0)),0)</f>
        <v/>
      </c>
      <c r="M8" s="139">
        <f>Benchmarking!M17</f>
        <v/>
      </c>
      <c r="N8" s="134">
        <f>IFERROR(IF(AND(M8&gt;=Assumptions!C6,ISNUMBER(I8)),Assumptions!C25,0)/(IF(AND(M6&gt;=Assumptions!C6,ISNUMBER(I6)),Assumptions!C23,0)+IF(AND(M7&gt;=Assumptions!C6,ISNUMBER(I7)),Assumptions!C24,0)+IF(AND(M8&gt;=Assumptions!C6,ISNUMBER(I8)),Assumptions!C25,0)),0)</f>
        <v/>
      </c>
      <c r="O8" s="123">
        <f>IF(AND(L8&gt;0,ISNUMBER(E8)),E8,"")</f>
        <v/>
      </c>
      <c r="P8" s="123">
        <f>IF(AND(N8&gt;0,ISNUMBER(I8)),I8,"")</f>
        <v/>
      </c>
      <c r="Q8" s="90" t="inlineStr">
        <is>
          <t>Acquisition Premium</t>
        </is>
      </c>
      <c r="R8" s="132">
        <f>IF(AND(L8&gt;0,ISNUMBER(B8),ISNUMBER(Benchmarking!B17)),B8*(1+Benchmarking!B17),"")</f>
        <v/>
      </c>
      <c r="S8" s="132">
        <f>IF(AND(L8&gt;0,ISNUMBER(B8),ISNUMBER(Benchmarking!C17)),B8*(1+Benchmarking!C17),"")</f>
        <v/>
      </c>
      <c r="T8" s="132">
        <f>IF(AND(L8&gt;0,ISNUMBER(B8),ISNUMBER(Benchmarking!E17)),B8*(1+Benchmarking!E17),"")</f>
        <v/>
      </c>
      <c r="U8" s="132">
        <f>IF(AND(N8&gt;0,ISNUMBER(F8),ISNUMBER(Benchmarking!G17)),F8*(1+Benchmarking!G17),"")</f>
        <v/>
      </c>
      <c r="V8" s="132">
        <f>IF(AND(N8&gt;0,ISNUMBER(F8),ISNUMBER(Benchmarking!H17)),F8*(1+Benchmarking!H17),"")</f>
        <v/>
      </c>
      <c r="W8" s="132">
        <f>IF(AND(N8&gt;0,ISNUMBER(F8),ISNUMBER(Benchmarking!J17)),F8*(1+Benchmarking!J17),"")</f>
        <v/>
      </c>
    </row>
    <row r="9"/>
    <row r="10"/>
    <row r="11" ht="18" customHeight="1" s="85">
      <c r="A11" s="88" t="inlineStr">
        <is>
          <t>Valuation range summary</t>
        </is>
      </c>
    </row>
    <row r="12" ht="28.5" customHeight="1" s="85">
      <c r="A12" s="97" t="inlineStr">
        <is>
          <t>Output</t>
        </is>
      </c>
      <c r="B12" s="97" t="inlineStr">
        <is>
          <t>Completed Calculation</t>
        </is>
      </c>
      <c r="C12" s="97" t="inlineStr">
        <is>
          <t>Student Template</t>
        </is>
      </c>
      <c r="D12" s="97" t="inlineStr">
        <is>
          <t>Units</t>
        </is>
      </c>
      <c r="E12" s="97" t="inlineStr">
        <is>
          <t>Use</t>
        </is>
      </c>
      <c r="F12" s="97" t="inlineStr">
        <is>
          <t>Teaching note</t>
        </is>
      </c>
    </row>
    <row r="13" ht="90.25" customHeight="1" s="85">
      <c r="A13" s="90" t="inlineStr">
        <is>
          <t>Low (25th Percentile)</t>
        </is>
      </c>
      <c r="B13" s="123">
        <f>IFERROR(SUM(IF(ISNUMBER(R6),R6*L6,0),IF(ISNUMBER(R7),R7*L7,0),IF(ISNUMBER(R8),R8*L8,0))/SUM(IF(ISNUMBER(R6),L6,0),IF(ISNUMBER(R7),L7,0),IF(ISNUMBER(R8),L8,0)),"N/M")</f>
        <v/>
      </c>
      <c r="C13" s="123">
        <f>IFERROR(SUM(IF(ISNUMBER(U6),U6*N6,0),IF(ISNUMBER(U7),U7*N7,0),IF(ISNUMBER(U8),U8*N8,0))/SUM(IF(ISNUMBER(U6),N6,0),IF(ISNUMBER(U7),N7,0),IF(ISNUMBER(U8),N8,0)),"N/M")</f>
        <v/>
      </c>
      <c r="D13" s="90" t="inlineStr">
        <is>
          <t>USD/share</t>
        </is>
      </c>
      <c r="E13" s="90" t="inlineStr">
        <is>
          <t>Quartile range endpoint</t>
        </is>
      </c>
      <c r="F13" s="135" t="inlineStr">
        <is>
          <t>Applies the corresponding transaction-multiple quartile and re-normalizes only qualifying method weights.</t>
        </is>
      </c>
    </row>
    <row r="14" ht="90.25" customHeight="1" s="85">
      <c r="A14" s="90" t="inlineStr">
        <is>
          <t>Base (Median)</t>
        </is>
      </c>
      <c r="B14" s="123">
        <f>IFERROR(SUM(IF(ISNUMBER(S6),S6*L6,0),IF(ISNUMBER(S7),S7*L7,0),IF(ISNUMBER(S8),S8*L8,0))/SUM(IF(ISNUMBER(S6),L6,0),IF(ISNUMBER(S7),L7,0),IF(ISNUMBER(S8),L8,0)),"N/M")</f>
        <v/>
      </c>
      <c r="C14" s="123">
        <f>IFERROR(SUM(IF(ISNUMBER(V6),V6*N6,0),IF(ISNUMBER(V7),V7*N7,0),IF(ISNUMBER(V8),V8*N8,0))/SUM(IF(ISNUMBER(V6),N6,0),IF(ISNUMBER(V7),N7,0),IF(ISNUMBER(V8),N8,0)),"N/M")</f>
        <v/>
      </c>
      <c r="D14" s="90" t="inlineStr">
        <is>
          <t>USD/share</t>
        </is>
      </c>
      <c r="E14" s="90" t="inlineStr">
        <is>
          <t>Central indication</t>
        </is>
      </c>
      <c r="F14" s="135" t="inlineStr">
        <is>
          <t>Applies the corresponding transaction-multiple quartile and re-normalizes only qualifying method weights.</t>
        </is>
      </c>
    </row>
    <row r="15" ht="90.25" customHeight="1" s="85">
      <c r="A15" s="90" t="inlineStr">
        <is>
          <t>High (75th Percentile)</t>
        </is>
      </c>
      <c r="B15" s="123">
        <f>IFERROR(SUM(IF(ISNUMBER(T6),T6*L6,0),IF(ISNUMBER(T7),T7*L7,0),IF(ISNUMBER(T8),T8*L8,0))/SUM(IF(ISNUMBER(T6),L6,0),IF(ISNUMBER(T7),L7,0),IF(ISNUMBER(T8),L8,0)),"N/M")</f>
        <v/>
      </c>
      <c r="C15" s="123">
        <f>IFERROR(SUM(IF(ISNUMBER(W6),W6*N6,0),IF(ISNUMBER(W7),W7*N7,0),IF(ISNUMBER(W8),W8*N8,0))/SUM(IF(ISNUMBER(W6),N6,0),IF(ISNUMBER(W7),N7,0),IF(ISNUMBER(W8),N8,0)),"N/M")</f>
        <v/>
      </c>
      <c r="D15" s="90" t="inlineStr">
        <is>
          <t>USD/share</t>
        </is>
      </c>
      <c r="E15" s="90" t="inlineStr">
        <is>
          <t>Quartile range endpoint</t>
        </is>
      </c>
      <c r="F15" s="135" t="inlineStr">
        <is>
          <t>Applies the corresponding transaction-multiple quartile and re-normalizes only qualifying method weights.</t>
        </is>
      </c>
    </row>
    <row r="16" ht="128.35" customHeight="1" s="85">
      <c r="A16" s="98" t="inlineStr">
        <is>
          <t>Weighted Selected Value</t>
        </is>
      </c>
      <c r="B16" s="100">
        <f>IFERROR(SUM(IF(ISNUMBER(O6),O6*L6,0),IF(ISNUMBER(O7),O7*L7,0),IF(ISNUMBER(O8),O8*L8,0))/SUM(IF(ISNUMBER(O6),L6,0),IF(ISNUMBER(O7),L7,0),IF(ISNUMBER(O8),L8,0)),"N/M")</f>
        <v/>
      </c>
      <c r="C16" s="100">
        <f>IFERROR(SUM(IF(ISNUMBER(P6),P6*N6,0),IF(ISNUMBER(P7),P7*N7,0),IF(ISNUMBER(P8),P8*N8,0))/SUM(IF(ISNUMBER(P6),N6,0),IF(ISNUMBER(P7),N7,0),IF(ISNUMBER(P8),N8,0)),"N/M")</f>
        <v/>
      </c>
      <c r="D16" s="98" t="inlineStr">
        <is>
          <t>USD/share</t>
        </is>
      </c>
      <c r="E16" s="98" t="inlineStr">
        <is>
          <t>Primary selected value</t>
        </is>
      </c>
      <c r="F16" s="101" t="inlineStr">
        <is>
          <t>Re-normalizes weights only across methods meeting the minimum observation count; premium remains a default zero-weight cross-check.</t>
        </is>
      </c>
    </row>
    <row r="17" ht="15" customHeight="1" s="85">
      <c r="A17" s="90" t="inlineStr">
        <is>
          <t>Unaffected / Reference Share Price</t>
        </is>
      </c>
      <c r="B17" s="132">
        <f>Assumptions!B12</f>
        <v/>
      </c>
      <c r="C17" s="132">
        <f>Assumptions!C12</f>
        <v/>
      </c>
      <c r="D17" s="90" t="inlineStr">
        <is>
          <t>USD/share</t>
        </is>
      </c>
      <c r="E17" s="90" t="inlineStr">
        <is>
          <t>Reference only</t>
        </is>
      </c>
      <c r="F17" s="90" t="inlineStr">
        <is>
          <t>A transaction valuation should use an unaffected price dated before any subject-company deal information.</t>
        </is>
      </c>
    </row>
    <row r="18" ht="15" customHeight="1" s="85">
      <c r="A18" s="90" t="inlineStr">
        <is>
          <t>Implied Premium / (Discount)</t>
        </is>
      </c>
      <c r="B18" s="136">
        <f>IF(AND(ISNUMBER(B16),ISNUMBER(B17),B17&lt;&gt;0),B16/B17-1,"N/M")</f>
        <v/>
      </c>
      <c r="C18" s="136">
        <f>IF(AND(ISNUMBER(C16),ISNUMBER(C17),C17&lt;&gt;0),C16/C17-1,"N/M")</f>
        <v/>
      </c>
      <c r="D18" s="90" t="inlineStr">
        <is>
          <t>Percent</t>
        </is>
      </c>
      <c r="E18" s="90" t="inlineStr">
        <is>
          <t>Control-value conclusion</t>
        </is>
      </c>
      <c r="F18" s="90" t="inlineStr">
        <is>
          <t>Interpret carefully when the public transaction sample is sparse or uses forecast rather than trailing denominators.</t>
        </is>
      </c>
    </row>
    <row r="19"/>
    <row r="20" ht="18" customHeight="1" s="85">
      <c r="A20" s="88" t="inlineStr">
        <is>
          <t>Step V conclusion</t>
        </is>
      </c>
    </row>
    <row r="21" ht="15" customHeight="1" s="85">
      <c r="A21" s="90" t="inlineStr">
        <is>
          <t>Completed Analyst Conclusion</t>
        </is>
      </c>
      <c r="B21" s="96">
        <f>IF(ISNUMBER(B16),"Completed comparable-transactions valuation: "&amp;TEXT(B16,"$0.00")&amp;" per share using only methods meeting the minimum observation count. "&amp;IF(AND(Assumptions!B23&gt;0,K6&lt;Assumptions!B6),"LIMITED: EV / Revenue excluded ("&amp;K6&amp;" observations &lt; "&amp;Assumptions!B6&amp;"). ","")&amp;IF(AND(Assumptions!B24&gt;0,K7&lt;Assumptions!B6),"LIMITED: EV / EBITDA excluded ("&amp;K7&amp;" observations &lt; "&amp;Assumptions!B6&amp;"). ","")&amp;IF(AND(Assumptions!B25&gt;0,K8&lt;Assumptions!B6),"LIMITED: acquisition premium excluded ("&amp;K8&amp;" observations &lt; "&amp;Assumptions!B6&amp;"). ",""),"Insufficient verified public transaction evidence for a selected valuation.")</f>
        <v/>
      </c>
      <c r="L21" s="90" t="inlineStr">
        <is>
          <t>Student Conclusion (editable)</t>
        </is>
      </c>
      <c r="M21" s="119" t="inlineStr">
        <is>
          <t>State your selected transaction value or explain why the verified public sample is insufficient. Discuss deal comparability and data limitations.</t>
        </is>
      </c>
      <c r="N21" s="141" t="n"/>
      <c r="O21" s="141" t="n"/>
      <c r="P21" s="141" t="n"/>
      <c r="Q21" s="141" t="n"/>
      <c r="R21" s="141" t="n"/>
      <c r="S21" s="141" t="n"/>
      <c r="T21" s="141" t="n"/>
      <c r="U21" s="141" t="n"/>
      <c r="V21" s="141" t="n"/>
      <c r="W21" s="141" t="n"/>
    </row>
    <row r="22" ht="15" customHeight="1" s="85">
      <c r="M22" s="141" t="n"/>
      <c r="N22" s="141" t="n"/>
      <c r="O22" s="141" t="n"/>
      <c r="P22" s="141" t="n"/>
      <c r="Q22" s="141" t="n"/>
      <c r="R22" s="141" t="n"/>
      <c r="S22" s="141" t="n"/>
      <c r="T22" s="141" t="n"/>
      <c r="U22" s="141" t="n"/>
      <c r="V22" s="141" t="n"/>
      <c r="W22" s="141" t="n"/>
    </row>
  </sheetData>
  <mergeCells count="7">
    <mergeCell ref="B21:K22"/>
    <mergeCell ref="A11:F11"/>
    <mergeCell ref="A1:W1"/>
    <mergeCell ref="M21:W22"/>
    <mergeCell ref="A4:W4"/>
    <mergeCell ref="A20:W20"/>
    <mergeCell ref="A2:W2"/>
  </mergeCells>
  <printOptions horizontalCentered="0" verticalCentered="0" headings="0" gridLines="0" gridLinesSet="1"/>
  <pageMargins left="0.75" right="0.75" top="1" bottom="1" header="0.511811023622047" footer="0.5"/>
  <pageSetup orientation="landscape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  <legacyDrawing xmlns:r="http://schemas.openxmlformats.org/officeDocument/2006/relationships" r:id="anysvml"/>
</worksheet>
</file>

<file path=xl/worksheets/sheet8.xml><?xml version="1.0" encoding="utf-8"?>
<worksheet xmlns="http://schemas.openxmlformats.org/spreadsheetml/2006/main">
  <sheetPr filterMode="0">
    <tabColor rgb="FF4472C4"/>
    <outlinePr summaryBelow="1" summaryRight="1"/>
    <pageSetUpPr fitToPage="1"/>
  </sheetPr>
  <dimension ref="A1:F26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31" customWidth="1" style="84" min="1" max="1"/>
    <col width="18" customWidth="1" style="84" min="2" max="3"/>
    <col width="16" customWidth="1" style="84" min="4" max="4"/>
    <col width="48" customWidth="1" style="84" min="5" max="5"/>
    <col width="38" customWidth="1" style="84" min="6" max="6"/>
  </cols>
  <sheetData>
    <row r="1" ht="27" customHeight="1" s="85">
      <c r="A1" s="86" t="inlineStr">
        <is>
          <t>Student Template Controls — Comparable Transactions</t>
        </is>
      </c>
    </row>
    <row r="2" ht="25.5" customHeight="1" s="85">
      <c r="A2" s="87" t="inlineStr">
        <is>
          <t>Column B shows the AI Valuation. Blue Column C inputs form the student template and initially reproduce it.</t>
        </is>
      </c>
    </row>
    <row r="3"/>
    <row r="4" ht="28.5" customHeight="1" s="85">
      <c r="A4" s="97" t="inlineStr">
        <is>
          <t>Assumption</t>
        </is>
      </c>
      <c r="B4" s="97" t="inlineStr">
        <is>
          <t>Completed Calculation</t>
        </is>
      </c>
      <c r="C4" s="97" t="inlineStr">
        <is>
          <t>Student Template / Edit</t>
        </is>
      </c>
      <c r="D4" s="97" t="inlineStr">
        <is>
          <t>Units</t>
        </is>
      </c>
      <c r="E4" s="97" t="inlineStr">
        <is>
          <t>Rationale</t>
        </is>
      </c>
      <c r="F4" s="97" t="inlineStr">
        <is>
          <t>Source / Instruction</t>
        </is>
      </c>
    </row>
    <row r="5" ht="27.75" customHeight="1" s="85">
      <c r="A5" s="118" t="inlineStr">
        <is>
          <t>Selected Statistic</t>
        </is>
      </c>
      <c r="B5" s="143" t="inlineStr">
        <is>
          <t>Median</t>
        </is>
      </c>
      <c r="C5" s="144" t="inlineStr">
        <is>
          <t>Median</t>
        </is>
      </c>
      <c r="D5" s="145" t="inlineStr">
        <is>
          <t>Choice</t>
        </is>
      </c>
      <c r="E5" s="118" t="inlineStr">
        <is>
          <t>Median reduces sensitivity to deal-specific outliers.</t>
        </is>
      </c>
      <c r="F5" s="118" t="inlineStr">
        <is>
          <t>Model policy</t>
        </is>
      </c>
    </row>
    <row r="6" ht="27.75" customHeight="1" s="85">
      <c r="A6" s="118" t="inlineStr">
        <is>
          <t>Minimum Selected Transactions</t>
        </is>
      </c>
      <c r="B6" s="146" t="n">
        <v>3</v>
      </c>
      <c r="C6" s="147" t="n">
        <v>3</v>
      </c>
      <c r="D6" s="145" t="inlineStr">
        <is>
          <t>Transactions</t>
        </is>
      </c>
      <c r="E6" s="118" t="inlineStr">
        <is>
          <t>Fewer than three eligible deals produces a LIMITED status.</t>
        </is>
      </c>
      <c r="F6" s="118" t="inlineStr">
        <is>
          <t>Model policy</t>
        </is>
      </c>
    </row>
    <row r="7"/>
    <row r="8" ht="27.75" customHeight="1" s="85">
      <c r="A8" s="118" t="inlineStr">
        <is>
          <t>Target Revenue</t>
        </is>
      </c>
      <c r="B8" s="148">
        <f>'Source Data'!B6</f>
        <v/>
      </c>
      <c r="C8" s="149">
        <f>'Source Data'!B6</f>
        <v/>
      </c>
      <c r="D8" s="145" t="inlineStr">
        <is>
          <t>USD mm</t>
        </is>
      </c>
      <c r="E8" s="118" t="inlineStr">
        <is>
          <t>Matches the target metric used with EV / Revenue.</t>
        </is>
      </c>
      <c r="F8" s="118" t="inlineStr">
        <is>
          <t>Source Data!B6</t>
        </is>
      </c>
    </row>
    <row r="9" ht="27.75" customHeight="1" s="85">
      <c r="A9" s="118" t="inlineStr">
        <is>
          <t>Target EBITDA</t>
        </is>
      </c>
      <c r="B9" s="148">
        <f>'Source Data'!B7</f>
        <v/>
      </c>
      <c r="C9" s="149">
        <f>'Source Data'!B7</f>
        <v/>
      </c>
      <c r="D9" s="145" t="inlineStr">
        <is>
          <t>USD mm</t>
        </is>
      </c>
      <c r="E9" s="118" t="inlineStr">
        <is>
          <t>Matches the target metric used with EV / EBITDA.</t>
        </is>
      </c>
      <c r="F9" s="118" t="inlineStr">
        <is>
          <t>Source Data!B7</t>
        </is>
      </c>
    </row>
    <row r="10" ht="27.75" customHeight="1" s="85">
      <c r="A10" s="118" t="inlineStr">
        <is>
          <t>Target Net Debt + Other EV Claims</t>
        </is>
      </c>
      <c r="B10" s="148">
        <f>'Source Data'!B8</f>
        <v/>
      </c>
      <c r="C10" s="149">
        <f>'Source Data'!B8</f>
        <v/>
      </c>
      <c r="D10" s="145" t="inlineStr">
        <is>
          <t>USD mm</t>
        </is>
      </c>
      <c r="E10" s="118" t="inlineStr">
        <is>
          <t>Base net debt plus preferred stock and minority interest, applied in the EV-to-equity bridge.</t>
        </is>
      </c>
      <c r="F10" s="118" t="inlineStr">
        <is>
          <t>Source Data!B8</t>
        </is>
      </c>
    </row>
    <row r="11" ht="27.75" customHeight="1" s="85">
      <c r="A11" s="118" t="inlineStr">
        <is>
          <t>Target Diluted Shares</t>
        </is>
      </c>
      <c r="B11" s="150">
        <f>'Source Data'!B9</f>
        <v/>
      </c>
      <c r="C11" s="151">
        <f>'Source Data'!B9</f>
        <v/>
      </c>
      <c r="D11" s="145" t="inlineStr">
        <is>
          <t>mm shares</t>
        </is>
      </c>
      <c r="E11" s="118" t="inlineStr">
        <is>
          <t>Used to calculate implied share price.</t>
        </is>
      </c>
      <c r="F11" s="118" t="inlineStr">
        <is>
          <t>Source Data!B9</t>
        </is>
      </c>
    </row>
    <row r="12" ht="27.75" customHeight="1" s="85">
      <c r="A12" s="118" t="inlineStr">
        <is>
          <t>Target Unaffected Share Price</t>
        </is>
      </c>
      <c r="B12" s="152">
        <f>'Source Data'!B10</f>
        <v/>
      </c>
      <c r="C12" s="153">
        <f>'Source Data'!B10</f>
        <v/>
      </c>
      <c r="D12" s="145" t="inlineStr">
        <is>
          <t>USD/share</t>
        </is>
      </c>
      <c r="E12" s="118" t="inlineStr">
        <is>
          <t>Used with observed acquisition premiums.</t>
        </is>
      </c>
      <c r="F12" s="118" t="inlineStr">
        <is>
          <t>Source Data!B10</t>
        </is>
      </c>
    </row>
    <row r="13"/>
    <row r="14"/>
    <row r="15" ht="18" customHeight="1" s="85">
      <c r="A15" s="88" t="inlineStr">
        <is>
          <t>Screening assumptions</t>
        </is>
      </c>
    </row>
    <row r="16" ht="28.5" customHeight="1" s="85">
      <c r="A16" s="97" t="inlineStr">
        <is>
          <t>Assumption</t>
        </is>
      </c>
      <c r="B16" s="97" t="inlineStr">
        <is>
          <t>AI</t>
        </is>
      </c>
      <c r="C16" s="97" t="inlineStr">
        <is>
          <t>Student / Edit</t>
        </is>
      </c>
      <c r="D16" s="97" t="inlineStr">
        <is>
          <t>Units</t>
        </is>
      </c>
      <c r="E16" s="97" t="inlineStr">
        <is>
          <t>Rationale</t>
        </is>
      </c>
      <c r="F16" s="97" t="inlineStr">
        <is>
          <t>Source / Instruction</t>
        </is>
      </c>
    </row>
    <row r="17" ht="27.75" customHeight="1" s="85">
      <c r="A17" s="118" t="inlineStr">
        <is>
          <t>Maximum Deal Age</t>
        </is>
      </c>
      <c r="B17" s="146" t="n">
        <v>15</v>
      </c>
      <c r="C17" s="147" t="n">
        <v>15</v>
      </c>
      <c r="D17" s="145" t="inlineStr">
        <is>
          <t>Years</t>
        </is>
      </c>
      <c r="E17" s="118" t="inlineStr">
        <is>
          <t>A broad 15-year public-data window supports teaching samples while excluding very stale pricing regimes.</t>
        </is>
      </c>
      <c r="F17" s="118" t="inlineStr">
        <is>
          <t>Model policy</t>
        </is>
      </c>
    </row>
    <row r="18" ht="33.75" customHeight="1" s="85">
      <c r="A18" s="118" t="inlineStr">
        <is>
          <t>EV / EBITDA Eligibility Rule</t>
        </is>
      </c>
      <c r="B18" s="154" t="inlineStr">
        <is>
          <t>Positive EBITDA denominator or stated positive EV / EBITDA</t>
        </is>
      </c>
      <c r="C18" s="154" t="inlineStr">
        <is>
          <t>Positive EBITDA denominator or stated positive EV / EBITDA</t>
        </is>
      </c>
      <c r="D18" s="118" t="inlineStr">
        <is>
          <t>Rule</t>
        </is>
      </c>
      <c r="E18" s="118" t="inlineStr">
        <is>
          <t>This metric-specific rule never excludes a revenue-only transaction from EV / Revenue.</t>
        </is>
      </c>
      <c r="F18" s="118" t="inlineStr">
        <is>
          <t>Fixed model policy; not an editable assumption</t>
        </is>
      </c>
    </row>
    <row r="19"/>
    <row r="20"/>
    <row r="21" ht="18" customHeight="1" s="85">
      <c r="A21" s="88" t="inlineStr">
        <is>
          <t>Valuation-method weights</t>
        </is>
      </c>
    </row>
    <row r="22" ht="28.5" customHeight="1" s="85">
      <c r="A22" s="97" t="inlineStr">
        <is>
          <t>Valuation Method</t>
        </is>
      </c>
      <c r="B22" s="97" t="inlineStr">
        <is>
          <t>AI Weight</t>
        </is>
      </c>
      <c r="C22" s="97" t="inlineStr">
        <is>
          <t>Student Weight</t>
        </is>
      </c>
      <c r="D22" s="97" t="inlineStr">
        <is>
          <t>Units</t>
        </is>
      </c>
      <c r="E22" s="97" t="inlineStr">
        <is>
          <t>Purpose</t>
        </is>
      </c>
      <c r="F22" s="97" t="inlineStr">
        <is>
          <t>Instruction</t>
        </is>
      </c>
    </row>
    <row r="23" ht="27.75" customHeight="1" s="85">
      <c r="A23" s="118" t="inlineStr">
        <is>
          <t>EV / Revenue</t>
        </is>
      </c>
      <c r="B23" s="155" t="n">
        <v>0.45</v>
      </c>
      <c r="C23" s="156" t="n">
        <v>0.45</v>
      </c>
      <c r="D23" s="145" t="inlineStr">
        <is>
          <t>Weight</t>
        </is>
      </c>
      <c r="E23" s="118" t="inlineStr">
        <is>
          <t>Contribution to the selected valuation after re-normalizing across meaningful outputs.</t>
        </is>
      </c>
      <c r="F23" s="118" t="inlineStr">
        <is>
          <t>AI valuation policy</t>
        </is>
      </c>
    </row>
    <row r="24" ht="27.75" customHeight="1" s="85">
      <c r="A24" s="118" t="inlineStr">
        <is>
          <t>EV / EBITDA</t>
        </is>
      </c>
      <c r="B24" s="155" t="n">
        <v>0.55</v>
      </c>
      <c r="C24" s="156" t="n">
        <v>0.55</v>
      </c>
      <c r="D24" s="145" t="inlineStr">
        <is>
          <t>Weight</t>
        </is>
      </c>
      <c r="E24" s="118" t="inlineStr">
        <is>
          <t>Contribution to the selected valuation after re-normalizing across meaningful outputs.</t>
        </is>
      </c>
      <c r="F24" s="118" t="inlineStr">
        <is>
          <t>AI valuation policy</t>
        </is>
      </c>
    </row>
    <row r="25" ht="27.75" customHeight="1" s="85">
      <c r="A25" s="118" t="inlineStr">
        <is>
          <t>Acquisition Premium</t>
        </is>
      </c>
      <c r="B25" s="155" t="n">
        <v>0</v>
      </c>
      <c r="C25" s="156" t="n">
        <v>0</v>
      </c>
      <c r="D25" s="145" t="inlineStr">
        <is>
          <t>Weight</t>
        </is>
      </c>
      <c r="E25" s="118" t="inlineStr">
        <is>
          <t>Contribution to the selected valuation after re-normalizing across meaningful outputs.</t>
        </is>
      </c>
      <c r="F25" s="118" t="inlineStr">
        <is>
          <t>AI valuation policy</t>
        </is>
      </c>
    </row>
    <row r="26" ht="15" customHeight="1" s="85">
      <c r="A26" s="157" t="inlineStr">
        <is>
          <t>Total Valuation Weight</t>
        </is>
      </c>
      <c r="B26" s="158">
        <f>SUM(B23:B25)</f>
        <v/>
      </c>
      <c r="C26" s="158">
        <f>SUM(C23:C25)</f>
        <v/>
      </c>
      <c r="D26" s="157" t="inlineStr">
        <is>
          <t>Must equal 100%</t>
        </is>
      </c>
      <c r="E26" s="157" t="inlineStr">
        <is>
          <t>Premium is a cross-check at the default zero weight; change the blue weight only when appropriate.</t>
        </is>
      </c>
      <c r="F26" s="159" t="n"/>
    </row>
  </sheetData>
  <mergeCells count="4">
    <mergeCell ref="A2:F2"/>
    <mergeCell ref="A21:F21"/>
    <mergeCell ref="A1:F1"/>
    <mergeCell ref="A15:F15"/>
  </mergeCells>
  <dataValidations count="3">
    <dataValidation sqref="C5" showDropDown="0" showInputMessage="0" showErrorMessage="0" allowBlank="0" type="list" errorStyle="stop" operator="between">
      <formula1>"25th Percentile,Median,Mean,75th Percentile"</formula1>
      <formula2>0</formula2>
    </dataValidation>
    <dataValidation sqref="C6 C17" showDropDown="0" showInputMessage="0" showErrorMessage="0" allowBlank="0" type="whole" errorStyle="stop" operator="greaterThanOrEqual">
      <formula1>1</formula1>
      <formula2>0</formula2>
    </dataValidation>
    <dataValidation sqref="C23:C25" showDropDown="0" showInputMessage="0" showErrorMessage="0" allowBlank="0" type="decimal" errorStyle="stop" operator="between">
      <formula1>0</formula1>
      <formula2>1</formula2>
    </dataValidation>
  </dataValidations>
  <printOptions horizontalCentered="0" verticalCentered="0" headings="0" gridLines="0" gridLinesSet="1"/>
  <pageMargins left="0.75" right="0.75" top="1" bottom="1" header="0.511811023622047" footer="0.5"/>
  <pageSetup orientation="landscape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  <legacyDrawing xmlns:r="http://schemas.openxmlformats.org/officeDocument/2006/relationships" r:id="anysvml"/>
</worksheet>
</file>

<file path=xl/worksheets/sheet9.xml><?xml version="1.0" encoding="utf-8"?>
<worksheet xmlns="http://schemas.openxmlformats.org/spreadsheetml/2006/main">
  <sheetPr filterMode="0">
    <tabColor rgb="FFFFC000"/>
    <outlinePr summaryBelow="1" summaryRight="1"/>
    <pageSetUpPr fitToPage="1"/>
  </sheetPr>
  <dimension ref="A1:H24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7" customWidth="1" style="84" min="1" max="1"/>
    <col width="36" customWidth="1" style="84" min="2" max="2"/>
    <col width="19" customWidth="1" style="84" min="3" max="4"/>
    <col width="15" customWidth="1" style="84" min="5" max="5"/>
    <col width="14" customWidth="1" style="84" min="6" max="7"/>
    <col width="58" customWidth="1" style="84" min="8" max="8"/>
  </cols>
  <sheetData>
    <row r="1" ht="27" customHeight="1" s="85">
      <c r="A1" s="86" t="inlineStr">
        <is>
          <t>Model Checks</t>
        </is>
      </c>
    </row>
    <row r="2" ht="25.5" customHeight="1" s="85">
      <c r="A2" s="87" t="inlineStr">
        <is>
          <t>One assertion per row. PASS means the integrity test passed; LIMITED means the model is usable only with an explicit caveat.</t>
        </is>
      </c>
    </row>
    <row r="3"/>
    <row r="4" ht="15" customHeight="1" s="85">
      <c r="A4" s="160" t="inlineStr">
        <is>
          <t>Overall Model Status</t>
        </is>
      </c>
      <c r="B4" s="161">
        <f>IF(COUNTIF(G7:G24,"FAIL")&gt;0,"FAIL",IF(COUNTIF(G7:G24,"LIMITED")&gt;0,"LIMITED","PASS"))</f>
        <v/>
      </c>
    </row>
    <row r="5"/>
    <row r="6" ht="28.5" customHeight="1" s="85">
      <c r="A6" s="97" t="inlineStr">
        <is>
          <t>#</t>
        </is>
      </c>
      <c r="B6" s="97" t="inlineStr">
        <is>
          <t>Check</t>
        </is>
      </c>
      <c r="C6" s="97" t="inlineStr">
        <is>
          <t>Actual</t>
        </is>
      </c>
      <c r="D6" s="97" t="inlineStr">
        <is>
          <t>Expected</t>
        </is>
      </c>
      <c r="E6" s="97" t="inlineStr">
        <is>
          <t>Difference</t>
        </is>
      </c>
      <c r="F6" s="97" t="inlineStr">
        <is>
          <t>Tolerance</t>
        </is>
      </c>
      <c r="G6" s="97" t="inlineStr">
        <is>
          <t>Status</t>
        </is>
      </c>
      <c r="H6" s="97" t="inlineStr">
        <is>
          <t>Notes / Fix</t>
        </is>
      </c>
    </row>
    <row r="7" ht="30" customHeight="1" s="85">
      <c r="A7" s="162" t="n">
        <v>1</v>
      </c>
      <c r="B7" s="90" t="inlineStr">
        <is>
          <t>AI eligible transaction count</t>
        </is>
      </c>
      <c r="C7" s="114">
        <f>COUNTIF('Transaction Screening'!E6:E17,"Yes")</f>
        <v/>
      </c>
      <c r="D7" s="139">
        <f>Assumptions!B6</f>
        <v/>
      </c>
      <c r="E7" s="137">
        <f>C7-D7</f>
        <v/>
      </c>
      <c r="F7" s="162" t="n">
        <v>0</v>
      </c>
      <c r="G7" s="137">
        <f>IF(C7&gt;=D7,"PASS","LIMITED")</f>
        <v/>
      </c>
      <c r="H7" s="135" t="inlineStr">
        <is>
          <t>A small public transaction sample must be disclosed.</t>
        </is>
      </c>
    </row>
    <row r="8" ht="30" customHeight="1" s="85">
      <c r="A8" s="162" t="n">
        <v>2</v>
      </c>
      <c r="B8" s="90" t="inlineStr">
        <is>
          <t>Student selected transaction count</t>
        </is>
      </c>
      <c r="C8" s="114">
        <f>COUNTIF('Transaction Screening'!F6:F17,"Yes")</f>
        <v/>
      </c>
      <c r="D8" s="139">
        <f>Assumptions!C6</f>
        <v/>
      </c>
      <c r="E8" s="137">
        <f>C8-D8</f>
        <v/>
      </c>
      <c r="F8" s="162" t="n">
        <v>0</v>
      </c>
      <c r="G8" s="137">
        <f>IF(C8&gt;=D8,"PASS","LIMITED")</f>
        <v/>
      </c>
      <c r="H8" s="135" t="inlineStr">
        <is>
          <t>Explain why the student set is smaller than the minimum.</t>
        </is>
      </c>
    </row>
    <row r="9" ht="30" customHeight="1" s="85">
      <c r="A9" s="162" t="n">
        <v>3</v>
      </c>
      <c r="B9" s="90" t="inlineStr">
        <is>
          <t>Post-cutoff deals selected</t>
        </is>
      </c>
      <c r="C9" s="114">
        <f>COUNTIFS('Transaction Screening'!E6:E17,"Yes",'Transaction Screening'!J6:J17,"Post-cutoff")</f>
        <v/>
      </c>
      <c r="D9" s="162" t="n">
        <v>0</v>
      </c>
      <c r="E9" s="137">
        <f>C9-D9</f>
        <v/>
      </c>
      <c r="F9" s="162" t="n">
        <v>0</v>
      </c>
      <c r="G9" s="137">
        <f>IF(C9=0,"PASS","FAIL")</f>
        <v/>
      </c>
      <c r="H9" s="135" t="inlineStr">
        <is>
          <t>Exclude deals announced after the valuation date.</t>
        </is>
      </c>
    </row>
    <row r="10" ht="30" customHeight="1" s="85">
      <c r="A10" s="162" t="n">
        <v>4</v>
      </c>
      <c r="B10" s="90" t="inlineStr">
        <is>
          <t>Diluted shares for AI EV methods</t>
        </is>
      </c>
      <c r="C10" s="163">
        <f>Assumptions!B11</f>
        <v/>
      </c>
      <c r="D10" s="90" t="inlineStr">
        <is>
          <t>&gt; 0 when EV methods are weighted</t>
        </is>
      </c>
      <c r="E10" s="90" t="inlineStr">
        <is>
          <t>N/M</t>
        </is>
      </c>
      <c r="F10" s="162" t="n">
        <v>0</v>
      </c>
      <c r="G10" s="114">
        <f>IF(OR(SUM(Assumptions!B23:B24)=0,AND(ISNUMBER(C10),C10&gt;0)),"PASS","LIMITED")</f>
        <v/>
      </c>
      <c r="H10" s="135" t="inlineStr">
        <is>
          <t>EV-multiple indications require diluted shares; a premium-only case does not.</t>
        </is>
      </c>
    </row>
    <row r="11" ht="30" customHeight="1" s="85">
      <c r="A11" s="162" t="n">
        <v>5</v>
      </c>
      <c r="B11" s="90" t="inlineStr">
        <is>
          <t>AI valuation is numeric</t>
        </is>
      </c>
      <c r="C11" s="132">
        <f>Valuation!B16</f>
        <v/>
      </c>
      <c r="D11" s="90" t="inlineStr">
        <is>
          <t>Numeric</t>
        </is>
      </c>
      <c r="E11" s="90" t="inlineStr">
        <is>
          <t>N/M</t>
        </is>
      </c>
      <c r="F11" s="162" t="n">
        <v>0</v>
      </c>
      <c r="G11" s="137">
        <f>IF(ISNUMBER(C11),"PASS","LIMITED")</f>
        <v/>
      </c>
      <c r="H11" s="135" t="inlineStr">
        <is>
          <t>Populate public or licensed transaction evidence.</t>
        </is>
      </c>
    </row>
    <row r="12" ht="30" customHeight="1" s="85">
      <c r="A12" s="162" t="n">
        <v>6</v>
      </c>
      <c r="B12" s="90" t="inlineStr">
        <is>
          <t>Student valuation is numeric</t>
        </is>
      </c>
      <c r="C12" s="132">
        <f>Valuation!C16</f>
        <v/>
      </c>
      <c r="D12" s="90" t="inlineStr">
        <is>
          <t>Numeric</t>
        </is>
      </c>
      <c r="E12" s="90" t="inlineStr">
        <is>
          <t>N/M</t>
        </is>
      </c>
      <c r="F12" s="162" t="n">
        <v>0</v>
      </c>
      <c r="G12" s="137">
        <f>IF(ISNUMBER(C12),"PASS","LIMITED")</f>
        <v/>
      </c>
      <c r="H12" s="135" t="inlineStr">
        <is>
          <t>Review transaction inclusion and target inputs.</t>
        </is>
      </c>
    </row>
    <row r="13" ht="30" customHeight="1" s="85">
      <c r="A13" s="162" t="n">
        <v>7</v>
      </c>
      <c r="B13" s="90" t="inlineStr">
        <is>
          <t>At least one meaningful transaction statistic</t>
        </is>
      </c>
      <c r="C13" s="114">
        <f>COUNT('Precedent Transactions'!C38,'Precedent Transactions'!C39,'Precedent Transactions'!C40)</f>
        <v/>
      </c>
      <c r="D13" s="90" t="inlineStr">
        <is>
          <t>&gt;= 1</t>
        </is>
      </c>
      <c r="E13" s="90" t="inlineStr">
        <is>
          <t>N/M</t>
        </is>
      </c>
      <c r="F13" s="162" t="n">
        <v>0</v>
      </c>
      <c r="G13" s="137">
        <f>IF(C13&gt;=1,"PASS","LIMITED")</f>
        <v/>
      </c>
      <c r="H13" s="135" t="inlineStr">
        <is>
          <t>Use provider multiples when raw deal values are unavailable, but retain the source.</t>
        </is>
      </c>
    </row>
    <row r="14" ht="30" customHeight="1" s="85">
      <c r="A14" s="162" t="n">
        <v>8</v>
      </c>
      <c r="B14" s="90" t="inlineStr">
        <is>
          <t>Source trail present</t>
        </is>
      </c>
      <c r="C14" s="114">
        <f>COUNTA(Sources!A5:A500)</f>
        <v/>
      </c>
      <c r="D14" s="90" t="inlineStr">
        <is>
          <t>&gt;= 1</t>
        </is>
      </c>
      <c r="E14" s="90" t="inlineStr">
        <is>
          <t>N/M</t>
        </is>
      </c>
      <c r="F14" s="162" t="n">
        <v>0</v>
      </c>
      <c r="G14" s="137">
        <f>IF(C14&gt;=1,"PASS","LIMITED")</f>
        <v/>
      </c>
      <c r="H14" s="135" t="inlineStr">
        <is>
          <t>Add public filing or licensed-provider URLs.</t>
        </is>
      </c>
    </row>
    <row r="15" ht="30" customHeight="1" s="85">
      <c r="A15" s="162" t="n">
        <v>9</v>
      </c>
      <c r="B15" s="90" t="inlineStr">
        <is>
          <t>Student valuation weights total</t>
        </is>
      </c>
      <c r="C15" s="134">
        <f>Assumptions!C26</f>
        <v/>
      </c>
      <c r="D15" s="162" t="n">
        <v>1</v>
      </c>
      <c r="E15" s="137">
        <f>C15-D15</f>
        <v/>
      </c>
      <c r="F15" s="162" t="n">
        <v>0.0001</v>
      </c>
      <c r="G15" s="137">
        <f>IF(ABS(E15)&lt;=F15,"PASS","FAIL")</f>
        <v/>
      </c>
      <c r="H15" s="135" t="inlineStr">
        <is>
          <t>Adjust blue valuation-method weights so they sum to 100%.</t>
        </is>
      </c>
    </row>
    <row r="16" ht="30" customHeight="1" s="85">
      <c r="A16" s="162" t="n">
        <v>10</v>
      </c>
      <c r="B16" s="90" t="inlineStr">
        <is>
          <t>AI EV bridge availability</t>
        </is>
      </c>
      <c r="C16" s="131">
        <f>Assumptions!B10</f>
        <v/>
      </c>
      <c r="D16" s="90" t="inlineStr">
        <is>
          <t>Numeric when an EV method is weighted</t>
        </is>
      </c>
      <c r="E16" s="90" t="inlineStr">
        <is>
          <t>N/M</t>
        </is>
      </c>
      <c r="F16" s="162" t="n">
        <v>0</v>
      </c>
      <c r="G16" s="114">
        <f>IF(OR(SUM(Assumptions!B23:B24)=0,ISNUMBER(C16)),"PASS","LIMITED")</f>
        <v/>
      </c>
      <c r="H16" s="135" t="inlineStr">
        <is>
          <t>Target net debt plus other EV claims is required only when EV / Revenue or EV / EBITDA has a nonzero weight.</t>
        </is>
      </c>
    </row>
    <row r="17" ht="30" customHeight="1" s="85">
      <c r="A17" s="162" t="n">
        <v>11</v>
      </c>
      <c r="B17" s="90" t="inlineStr">
        <is>
          <t>Student EV bridge availability</t>
        </is>
      </c>
      <c r="C17" s="131">
        <f>Assumptions!C10</f>
        <v/>
      </c>
      <c r="D17" s="90" t="inlineStr">
        <is>
          <t>Numeric when an EV method is weighted</t>
        </is>
      </c>
      <c r="E17" s="90" t="inlineStr">
        <is>
          <t>N/M</t>
        </is>
      </c>
      <c r="F17" s="162" t="n">
        <v>0</v>
      </c>
      <c r="G17" s="114">
        <f>IF(OR(SUM(Assumptions!C23:C24)=0,ISNUMBER(C17)),"PASS","LIMITED")</f>
        <v/>
      </c>
      <c r="H17" s="135" t="inlineStr">
        <is>
          <t>Target net debt plus other EV claims is required only when EV / Revenue or EV / EBITDA has a nonzero weight.</t>
        </is>
      </c>
    </row>
    <row r="18" ht="30" customHeight="1" s="85">
      <c r="A18" s="162" t="n">
        <v>12</v>
      </c>
      <c r="B18" s="90" t="inlineStr">
        <is>
          <t>Diluted shares for student EV methods</t>
        </is>
      </c>
      <c r="C18" s="163">
        <f>Assumptions!C11</f>
        <v/>
      </c>
      <c r="D18" s="90" t="inlineStr">
        <is>
          <t>&gt; 0 when EV methods are weighted</t>
        </is>
      </c>
      <c r="E18" s="90" t="inlineStr">
        <is>
          <t>N/M</t>
        </is>
      </c>
      <c r="F18" s="162" t="n">
        <v>0</v>
      </c>
      <c r="G18" s="114">
        <f>IF(OR(SUM(Assumptions!C23:C24)=0,AND(ISNUMBER(C18),C18&gt;0)),"PASS","LIMITED")</f>
        <v/>
      </c>
      <c r="H18" s="135" t="inlineStr">
        <is>
          <t>The student premium-only case may remain meaningful without diluted shares.</t>
        </is>
      </c>
    </row>
    <row r="19" ht="30" customHeight="1" s="85">
      <c r="A19" s="162" t="n">
        <v>13</v>
      </c>
      <c r="B19" s="90" t="inlineStr">
        <is>
          <t>AI EV / Revenue observations</t>
        </is>
      </c>
      <c r="C19" s="114">
        <f>COUNT('Precedent Transactions'!B22:B33)</f>
        <v/>
      </c>
      <c r="D19" s="139">
        <f>IF(Assumptions!B23&gt;0,Assumptions!B6,0)</f>
        <v/>
      </c>
      <c r="E19" s="137">
        <f>C19-D19</f>
        <v/>
      </c>
      <c r="F19" s="162" t="n">
        <v>0</v>
      </c>
      <c r="G19" s="137">
        <f>IF(C19&gt;=D19,"PASS","LIMITED")</f>
        <v/>
      </c>
      <c r="H19" s="135" t="inlineStr">
        <is>
          <t>Every nonzero-weight transaction metric must have at least the selected minimum number of usable deal observations.</t>
        </is>
      </c>
    </row>
    <row r="20" ht="30" customHeight="1" s="85">
      <c r="A20" s="162" t="n">
        <v>14</v>
      </c>
      <c r="B20" s="90" t="inlineStr">
        <is>
          <t>AI EV / EBITDA observations</t>
        </is>
      </c>
      <c r="C20" s="114">
        <f>COUNT('Precedent Transactions'!C22:C33)</f>
        <v/>
      </c>
      <c r="D20" s="139">
        <f>IF(Assumptions!B24&gt;0,Assumptions!B6,0)</f>
        <v/>
      </c>
      <c r="E20" s="137">
        <f>C20-D20</f>
        <v/>
      </c>
      <c r="F20" s="162" t="n">
        <v>0</v>
      </c>
      <c r="G20" s="137">
        <f>IF(C20&gt;=D20,"PASS","LIMITED")</f>
        <v/>
      </c>
      <c r="H20" s="135" t="inlineStr">
        <is>
          <t>Every nonzero-weight transaction metric must have at least the selected minimum number of usable deal observations.</t>
        </is>
      </c>
    </row>
    <row r="21" ht="30" customHeight="1" s="85">
      <c r="A21" s="162" t="n">
        <v>15</v>
      </c>
      <c r="B21" s="90" t="inlineStr">
        <is>
          <t>AI Premium observations</t>
        </is>
      </c>
      <c r="C21" s="114">
        <f>COUNT('Precedent Transactions'!D22:D33)</f>
        <v/>
      </c>
      <c r="D21" s="114">
        <f>IF(Assumptions!B25&gt;0,Assumptions!B6,0)</f>
        <v/>
      </c>
      <c r="E21" s="137">
        <f>C21-D21</f>
        <v/>
      </c>
      <c r="F21" s="162" t="n">
        <v>0</v>
      </c>
      <c r="G21" s="137">
        <f>IF(C21&gt;=D21,"PASS","LIMITED")</f>
        <v/>
      </c>
      <c r="H21" s="135" t="inlineStr">
        <is>
          <t>Every nonzero-weight transaction metric must have at least the selected minimum number of usable deal observations.</t>
        </is>
      </c>
    </row>
    <row r="22" ht="30" customHeight="1" s="85">
      <c r="A22" s="162" t="n">
        <v>16</v>
      </c>
      <c r="B22" s="90" t="inlineStr">
        <is>
          <t>Student EV / Revenue observations</t>
        </is>
      </c>
      <c r="C22" s="114">
        <f>COUNT('Precedent Transactions'!G22:G33)</f>
        <v/>
      </c>
      <c r="D22" s="139">
        <f>IF(Assumptions!C23&gt;0,Assumptions!C6,0)</f>
        <v/>
      </c>
      <c r="E22" s="137">
        <f>C22-D22</f>
        <v/>
      </c>
      <c r="F22" s="162" t="n">
        <v>0</v>
      </c>
      <c r="G22" s="137">
        <f>IF(C22&gt;=D22,"PASS","LIMITED")</f>
        <v/>
      </c>
      <c r="H22" s="135" t="inlineStr">
        <is>
          <t>Every nonzero-weight transaction metric must have at least the selected minimum number of usable deal observations.</t>
        </is>
      </c>
    </row>
    <row r="23" ht="30" customHeight="1" s="85">
      <c r="A23" s="162" t="n">
        <v>17</v>
      </c>
      <c r="B23" s="90" t="inlineStr">
        <is>
          <t>Student EV / EBITDA observations</t>
        </is>
      </c>
      <c r="C23" s="114">
        <f>COUNT('Precedent Transactions'!H22:H33)</f>
        <v/>
      </c>
      <c r="D23" s="139">
        <f>IF(Assumptions!C24&gt;0,Assumptions!C6,0)</f>
        <v/>
      </c>
      <c r="E23" s="137">
        <f>C23-D23</f>
        <v/>
      </c>
      <c r="F23" s="162" t="n">
        <v>0</v>
      </c>
      <c r="G23" s="137">
        <f>IF(C23&gt;=D23,"PASS","LIMITED")</f>
        <v/>
      </c>
      <c r="H23" s="135" t="inlineStr">
        <is>
          <t>Every nonzero-weight transaction metric must have at least the selected minimum number of usable deal observations.</t>
        </is>
      </c>
    </row>
    <row r="24" ht="30" customHeight="1" s="85">
      <c r="A24" s="162" t="n">
        <v>18</v>
      </c>
      <c r="B24" s="90" t="inlineStr">
        <is>
          <t>Student Premium observations</t>
        </is>
      </c>
      <c r="C24" s="114">
        <f>COUNT('Precedent Transactions'!I22:I33)</f>
        <v/>
      </c>
      <c r="D24" s="114">
        <f>IF(Assumptions!C25&gt;0,Assumptions!C6,0)</f>
        <v/>
      </c>
      <c r="E24" s="137">
        <f>C24-D24</f>
        <v/>
      </c>
      <c r="F24" s="162" t="n">
        <v>0</v>
      </c>
      <c r="G24" s="137">
        <f>IF(C24&gt;=D24,"PASS","LIMITED")</f>
        <v/>
      </c>
      <c r="H24" s="135" t="inlineStr">
        <is>
          <t>Every nonzero-weight transaction metric must have at least the selected minimum number of usable deal observations.</t>
        </is>
      </c>
    </row>
  </sheetData>
  <mergeCells count="2">
    <mergeCell ref="A2:H2"/>
    <mergeCell ref="A1:H1"/>
  </mergeCells>
  <conditionalFormatting sqref="G7:G24">
    <cfRule type="expression" rank="0" priority="2" equalAverage="0" aboveAverage="0" dxfId="0" text="" percent="0" bottom="0">
      <formula>EXACT(G7,"PASS")</formula>
    </cfRule>
    <cfRule type="expression" rank="0" priority="3" equalAverage="0" aboveAverage="0" dxfId="1" text="" percent="0" bottom="0">
      <formula>EXACT(G7,"LIMITED")</formula>
    </cfRule>
    <cfRule type="expression" rank="0" priority="4" equalAverage="0" aboveAverage="0" dxfId="2" text="" percent="0" bottom="0">
      <formula>EXACT(G7,"FAIL")</formula>
    </cfRule>
  </conditionalFormatting>
  <conditionalFormatting sqref="B4">
    <cfRule type="expression" rank="0" priority="5" equalAverage="0" aboveAverage="0" dxfId="0" text="" percent="0" bottom="0">
      <formula>EXACT(B4,"PASS")</formula>
    </cfRule>
    <cfRule type="expression" rank="0" priority="6" equalAverage="0" aboveAverage="0" dxfId="1" text="" percent="0" bottom="0">
      <formula>EXACT(B4,"LIMITED")</formula>
    </cfRule>
    <cfRule type="expression" rank="0" priority="7" equalAverage="0" aboveAverage="0" dxfId="2" text="" percent="0" bottom="0">
      <formula>EXACT(B4,"FAIL")</formula>
    </cfRule>
  </conditionalFormatting>
  <printOptions horizontalCentered="0" verticalCentered="0" headings="0" gridLines="0" gridLinesSet="1"/>
  <pageMargins left="0.75" right="0.75" top="1" bottom="1" header="0.511811023622047" footer="0.5"/>
  <pageSetup orientation="landscape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FIN 4004 Valuation Teaching System</dc:creator>
  <dc:title xmlns:dc="http://purl.org/dc/elements/1.1/">Alphabet Inc. - Comparable Transactions</dc:title>
  <dc:description xmlns:dc="http://purl.org/dc/elements/1.1/">Formula-driven automated and student-editable valuation workbook. Blue cells are editable assumptions; green formulas link within the workbook.</dc:description>
  <dc:subject xmlns:dc="http://purl.org/dc/elements/1.1/">FIN 4004 step-by-step valuation teaching model</dc:subject>
  <dc:language xmlns:dc="http://purl.org/dc/elements/1.1/">en-US</dc:language>
  <dcterms:created xmlns:dcterms="http://purl.org/dc/terms/" xmlns:xsi="http://www.w3.org/2001/XMLSchema-instance" xsi:type="dcterms:W3CDTF">2026-08-08T15:03:37Z</dcterms:created>
  <dcterms:modified xmlns:dcterms="http://purl.org/dc/terms/" xmlns:xsi="http://www.w3.org/2001/XMLSchema-instance" xsi:type="dcterms:W3CDTF">2026-08-27T20:40:50Z</dcterms:modified>
  <cp:revision>0</cp:revision>
</cp:coreProperties>
</file>